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1315" windowHeight="9240" activeTab="0"/>
  </bookViews>
  <sheets>
    <sheet name="Feuil1" sheetId="1" r:id="rId1"/>
  </sheets>
  <definedNames>
    <definedName name="a">'Feuil1'!$B$8</definedName>
    <definedName name="b">'Feuil1'!$B$9</definedName>
    <definedName name="d">'Feuil1'!$C$11</definedName>
    <definedName name="E">'Feuil1'!$C$14</definedName>
    <definedName name="h">'Feuil1'!$B$10</definedName>
    <definedName name="Ma">'Feuil1'!$B$52:$M$57</definedName>
    <definedName name="nu">'Feuil1'!$C$15</definedName>
    <definedName name="pas">'Feuil1'!#REF!</definedName>
    <definedName name="tabart">'Feuil1'!$V$2:$V$5</definedName>
    <definedName name="tabchrep">'Feuil1'!$V$8:$V$12</definedName>
    <definedName name="tabd">'Feuil1'!$B$8:$B$13</definedName>
    <definedName name="tx">'Feuil1'!$C$33:$N$33</definedName>
    <definedName name="ty">'Feuil1'!$C$34:$N$34</definedName>
    <definedName name="_xlnm.Print_Area" localSheetId="0">'Feuil1'!$A$1:$P$88</definedName>
  </definedNames>
  <calcPr fullCalcOnLoad="1"/>
</workbook>
</file>

<file path=xl/comments1.xml><?xml version="1.0" encoding="utf-8"?>
<comments xmlns="http://schemas.openxmlformats.org/spreadsheetml/2006/main">
  <authors>
    <author>Henri Thonier</author>
  </authors>
  <commentList>
    <comment ref="D13" authorId="0">
      <text>
        <r>
          <rPr>
            <b/>
            <sz val="9"/>
            <rFont val="Tahoma"/>
            <family val="2"/>
          </rPr>
          <t>Pour prise en compte dans le cas des dalles</t>
        </r>
        <r>
          <rPr>
            <sz val="9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9"/>
            <rFont val="Tahoma"/>
            <family val="0"/>
          </rPr>
          <t>1 = libre
2 = articulé
3 = encastré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<sst xmlns="http://schemas.openxmlformats.org/spreadsheetml/2006/main" count="143" uniqueCount="108">
  <si>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a</t>
  </si>
  <si>
    <t>b</t>
  </si>
  <si>
    <t>h</t>
  </si>
  <si>
    <t>m</t>
  </si>
  <si>
    <t>ce programme</t>
  </si>
  <si>
    <t>MPa</t>
  </si>
  <si>
    <t>n</t>
  </si>
  <si>
    <t>kN</t>
  </si>
  <si>
    <t>kNm/m</t>
  </si>
  <si>
    <t>kN/m</t>
  </si>
  <si>
    <t>mm</t>
  </si>
  <si>
    <t>Moment</t>
  </si>
  <si>
    <t>Déformée</t>
  </si>
  <si>
    <t>L'auteur n'est pas</t>
  </si>
  <si>
    <t>Données</t>
  </si>
  <si>
    <t>responsable de</t>
  </si>
  <si>
    <t>longueur // Ox</t>
  </si>
  <si>
    <t>l'usage fait de</t>
  </si>
  <si>
    <t>longueur // Oy</t>
  </si>
  <si>
    <t>épaisseur dalle</t>
  </si>
  <si>
    <r>
      <t>E</t>
    </r>
    <r>
      <rPr>
        <vertAlign val="subscript"/>
        <sz val="9"/>
        <rFont val="Arial"/>
        <family val="2"/>
      </rPr>
      <t>c</t>
    </r>
  </si>
  <si>
    <t>module d'Young</t>
  </si>
  <si>
    <t>coefficient de Poisson</t>
  </si>
  <si>
    <t>Effort tranchant</t>
  </si>
  <si>
    <t>1,5V/t =</t>
  </si>
  <si>
    <t>r</t>
  </si>
  <si>
    <r>
      <t>kN/m</t>
    </r>
    <r>
      <rPr>
        <vertAlign val="superscript"/>
        <sz val="9"/>
        <rFont val="Arial"/>
        <family val="2"/>
      </rPr>
      <t>3</t>
    </r>
  </si>
  <si>
    <t>poids volumique du béton</t>
  </si>
  <si>
    <t>Moment torsion</t>
  </si>
  <si>
    <t>Réaction d'appui</t>
  </si>
  <si>
    <r>
      <t>Charge répartie "planaire" kN/m</t>
    </r>
    <r>
      <rPr>
        <b/>
        <vertAlign val="superscript"/>
        <sz val="9"/>
        <rFont val="Arial"/>
        <family val="2"/>
      </rPr>
      <t>2</t>
    </r>
  </si>
  <si>
    <t>x</t>
  </si>
  <si>
    <t>y</t>
  </si>
  <si>
    <t>(constante, triangulaire, trapézoïdale</t>
  </si>
  <si>
    <t>dans une ou deux directions)</t>
  </si>
  <si>
    <t>Charge totale</t>
  </si>
  <si>
    <r>
      <t>E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.I</t>
    </r>
  </si>
  <si>
    <t>libre</t>
  </si>
  <si>
    <t>articulé</t>
  </si>
  <si>
    <t>encastré</t>
  </si>
  <si>
    <t>"tabd"</t>
  </si>
  <si>
    <t>"tabart"</t>
  </si>
  <si>
    <t>f</t>
  </si>
  <si>
    <t>My</t>
  </si>
  <si>
    <t>T</t>
  </si>
  <si>
    <t>abscisse</t>
  </si>
  <si>
    <t>ordonnée</t>
  </si>
  <si>
    <t>flèche</t>
  </si>
  <si>
    <t>moment de torsion</t>
  </si>
  <si>
    <t>effort tranchant // Ox</t>
  </si>
  <si>
    <t>effort tranchant // Oy</t>
  </si>
  <si>
    <t>réaction d'axe Ox</t>
  </si>
  <si>
    <t>réaction d'axe Oy</t>
  </si>
  <si>
    <t>b/2</t>
  </si>
  <si>
    <t>a/2</t>
  </si>
  <si>
    <t>kNm</t>
  </si>
  <si>
    <t>mrd</t>
  </si>
  <si>
    <r>
      <rPr>
        <sz val="9"/>
        <rFont val="Symbol"/>
        <family val="1"/>
      </rPr>
      <t>w</t>
    </r>
    <r>
      <rPr>
        <vertAlign val="subscript"/>
        <sz val="9"/>
        <rFont val="Arial"/>
        <family val="2"/>
      </rPr>
      <t>x</t>
    </r>
  </si>
  <si>
    <r>
      <t>M</t>
    </r>
    <r>
      <rPr>
        <vertAlign val="subscript"/>
        <sz val="9"/>
        <rFont val="Arial"/>
        <family val="2"/>
      </rPr>
      <t>x</t>
    </r>
  </si>
  <si>
    <r>
      <t>V</t>
    </r>
    <r>
      <rPr>
        <vertAlign val="subscript"/>
        <sz val="9"/>
        <rFont val="Arial"/>
        <family val="2"/>
      </rPr>
      <t>x</t>
    </r>
  </si>
  <si>
    <r>
      <t>V</t>
    </r>
    <r>
      <rPr>
        <vertAlign val="subscript"/>
        <sz val="9"/>
        <rFont val="Arial"/>
        <family val="2"/>
      </rPr>
      <t>y</t>
    </r>
  </si>
  <si>
    <r>
      <t>R</t>
    </r>
    <r>
      <rPr>
        <vertAlign val="subscript"/>
        <sz val="9"/>
        <rFont val="Arial"/>
        <family val="2"/>
      </rPr>
      <t>x</t>
    </r>
  </si>
  <si>
    <r>
      <t>R</t>
    </r>
    <r>
      <rPr>
        <vertAlign val="subscript"/>
        <sz val="9"/>
        <rFont val="Arial"/>
        <family val="2"/>
      </rPr>
      <t>y</t>
    </r>
  </si>
  <si>
    <t>.</t>
  </si>
  <si>
    <t>Mx</t>
  </si>
  <si>
    <t>Points étudiés</t>
  </si>
  <si>
    <t>moment pour aciers//Oy</t>
  </si>
  <si>
    <t>moment pour aciers//Ox</t>
  </si>
  <si>
    <t>x/a</t>
  </si>
  <si>
    <t>y/b</t>
  </si>
  <si>
    <r>
      <t>p</t>
    </r>
    <r>
      <rPr>
        <vertAlign val="subscript"/>
        <sz val="9"/>
        <rFont val="Arial"/>
        <family val="2"/>
      </rPr>
      <t>0</t>
    </r>
  </si>
  <si>
    <r>
      <t>p</t>
    </r>
    <r>
      <rPr>
        <vertAlign val="subscript"/>
        <sz val="9"/>
        <rFont val="Arial"/>
        <family val="2"/>
      </rPr>
      <t>B</t>
    </r>
  </si>
  <si>
    <r>
      <t>p</t>
    </r>
    <r>
      <rPr>
        <vertAlign val="subscript"/>
        <sz val="9"/>
        <rFont val="Arial"/>
        <family val="2"/>
      </rPr>
      <t>A</t>
    </r>
  </si>
  <si>
    <r>
      <t>p</t>
    </r>
    <r>
      <rPr>
        <vertAlign val="subscript"/>
        <sz val="9"/>
        <rFont val="Arial"/>
        <family val="2"/>
      </rPr>
      <t>C</t>
    </r>
  </si>
  <si>
    <t>Dessin</t>
  </si>
  <si>
    <t>charges</t>
  </si>
  <si>
    <r>
      <t>M/h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=</t>
    </r>
  </si>
  <si>
    <t>f/Min(a,b)</t>
  </si>
  <si>
    <t>Angle Sud droit B :</t>
  </si>
  <si>
    <t>Angle Nord gauche D :</t>
  </si>
  <si>
    <t>Angle Nord droit C :</t>
  </si>
  <si>
    <r>
      <t>p</t>
    </r>
    <r>
      <rPr>
        <vertAlign val="subscript"/>
        <sz val="9"/>
        <rFont val="Arial"/>
        <family val="2"/>
      </rPr>
      <t>D</t>
    </r>
  </si>
  <si>
    <r>
      <rPr>
        <sz val="9"/>
        <rFont val="Symbol"/>
        <family val="1"/>
      </rPr>
      <t>w</t>
    </r>
    <r>
      <rPr>
        <vertAlign val="subscript"/>
        <sz val="9"/>
        <rFont val="Arial"/>
        <family val="2"/>
      </rPr>
      <t>y</t>
    </r>
  </si>
  <si>
    <r>
      <t>M</t>
    </r>
    <r>
      <rPr>
        <vertAlign val="subscript"/>
        <sz val="9"/>
        <rFont val="Arial"/>
        <family val="2"/>
      </rPr>
      <t>y</t>
    </r>
  </si>
  <si>
    <t>Moments pour armatures // Oy</t>
  </si>
  <si>
    <t>Conditions d'appui</t>
  </si>
  <si>
    <t>articulés (2) ou encastrés (3)</t>
  </si>
  <si>
    <r>
      <t xml:space="preserve">Les bords </t>
    </r>
    <r>
      <rPr>
        <u val="single"/>
        <sz val="9"/>
        <rFont val="Arial Narrow"/>
        <family val="2"/>
      </rPr>
      <t>nord</t>
    </r>
    <r>
      <rPr>
        <sz val="9"/>
        <rFont val="Arial Narrow"/>
        <family val="2"/>
      </rPr>
      <t xml:space="preserve"> et </t>
    </r>
    <r>
      <rPr>
        <u val="single"/>
        <sz val="9"/>
        <rFont val="Arial Narrow"/>
        <family val="2"/>
      </rPr>
      <t>sud</t>
    </r>
    <r>
      <rPr>
        <sz val="9"/>
        <rFont val="Arial Narrow"/>
        <family val="2"/>
      </rPr>
      <t xml:space="preserve"> peuvent être libres (1),</t>
    </r>
  </si>
  <si>
    <t>Angle Sud gauche O :</t>
  </si>
  <si>
    <t>Nord (CD)</t>
  </si>
  <si>
    <t>Ouest (OD)</t>
  </si>
  <si>
    <t>Est (BC)</t>
  </si>
  <si>
    <t>Sud (OB)</t>
  </si>
  <si>
    <t>Résultats</t>
  </si>
  <si>
    <r>
      <t>M</t>
    </r>
    <r>
      <rPr>
        <vertAlign val="subscript"/>
        <sz val="9"/>
        <rFont val="Arial"/>
        <family val="2"/>
      </rPr>
      <t>max,x</t>
    </r>
  </si>
  <si>
    <r>
      <t>M</t>
    </r>
    <r>
      <rPr>
        <vertAlign val="subscript"/>
        <sz val="9"/>
        <rFont val="Arial"/>
        <family val="2"/>
      </rPr>
      <t>max,y</t>
    </r>
  </si>
  <si>
    <t>kN/m  --&gt;</t>
  </si>
  <si>
    <t>mm  --&gt;</t>
  </si>
  <si>
    <t>kNm/m  --&gt;</t>
  </si>
  <si>
    <t xml:space="preserve">Ce document est protégé par le droit d’auteur © Henry Thonier - EGF </t>
  </si>
  <si>
    <t>Deux appuis parallèles articulés, les autres peuvent être libres, articulés ou encastrés</t>
  </si>
  <si>
    <t>Méthode Lagrange-Fourier-Lévy</t>
  </si>
  <si>
    <t>236 - Dalle ou voile rectangulaire sous charge répartie trapézoïdale perpendiculaire à son plan</t>
  </si>
  <si>
    <t>Moments pour armatures // Ox</t>
  </si>
  <si>
    <t>rotation d'axe Ox</t>
  </si>
  <si>
    <t>rotation d'axe Oy</t>
  </si>
  <si>
    <t>pour armatures // Oy</t>
  </si>
  <si>
    <t>pour armatures // Ox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</si>
</sst>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00000000"/>
    <numFmt numFmtId="168" formatCode="0.0"/>
    <numFmt numFmtId="169" formatCode="&quot;1/&quot;0"/>
    <numFmt numFmtId="170" formatCode="&quot;x=&quot;0.00"/>
    <numFmt numFmtId="171" formatCode="0.000%"/>
    <numFmt numFmtId="172" formatCode="h:mm:ss"/>
    <numFmt numFmtId="173" formatCode="0.0000"/>
    <numFmt numFmtId="174" formatCode="0E+00"/>
    <numFmt numFmtId="175" formatCode="0.00000"/>
    <numFmt numFmtId="176" formatCode="0.000E+00"/>
    <numFmt numFmtId="177" formatCode="0.0E+00"/>
    <numFmt numFmtId="178" formatCode="0.000000"/>
    <numFmt numFmtId="179" formatCode="0.0000000"/>
    <numFmt numFmtId="180" formatCode="0.00&quot;a&quot;"/>
    <numFmt numFmtId="181" formatCode="0.00&quot;b&quot;"/>
  </numFmts>
  <fonts count="31">
    <font>
      <sz val="9"/>
      <name val="Arial"/>
      <family val="0"/>
    </font>
    <font>
      <sz val="8"/>
      <name val="Arial"/>
      <family val="0"/>
    </font>
    <font>
      <sz val="9"/>
      <name val="Symbol"/>
      <family val="1"/>
    </font>
    <font>
      <b/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9"/>
      <name val="Arial Narrow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2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ck"/>
      <bottom style="hair"/>
    </border>
    <border>
      <left style="thin"/>
      <right style="thin"/>
      <top style="hair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ck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17" fillId="3" borderId="1" applyNumberFormat="0" applyAlignment="0" applyProtection="0"/>
    <xf numFmtId="0" fontId="1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1" fillId="9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5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7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7" borderId="11" xfId="0" applyFont="1" applyFill="1" applyBorder="1" applyAlignment="1" applyProtection="1">
      <alignment horizontal="center"/>
      <protection locked="0"/>
    </xf>
    <xf numFmtId="3" fontId="0" fillId="7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7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0" fontId="0" fillId="0" borderId="0" xfId="0" applyNumberFormat="1" applyFont="1" applyBorder="1" applyAlignment="1">
      <alignment horizontal="left"/>
    </xf>
    <xf numFmtId="0" fontId="0" fillId="7" borderId="12" xfId="0" applyFont="1" applyFill="1" applyBorder="1" applyAlignment="1" applyProtection="1">
      <alignment horizontal="center"/>
      <protection locked="0"/>
    </xf>
    <xf numFmtId="2" fontId="0" fillId="10" borderId="13" xfId="0" applyNumberFormat="1" applyFont="1" applyFill="1" applyBorder="1" applyAlignment="1">
      <alignment horizontal="center"/>
    </xf>
    <xf numFmtId="2" fontId="0" fillId="10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Alignment="1" quotePrefix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7" borderId="12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4" borderId="21" xfId="0" applyFont="1" applyFill="1" applyBorder="1" applyAlignment="1" applyProtection="1">
      <alignment horizontal="center"/>
      <protection locked="0"/>
    </xf>
    <xf numFmtId="0" fontId="0" fillId="4" borderId="22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18" borderId="21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4" borderId="27" xfId="0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6" fontId="0" fillId="0" borderId="26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6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2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44" xfId="0" applyBorder="1" applyAlignment="1">
      <alignment/>
    </xf>
    <xf numFmtId="2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81" fontId="0" fillId="0" borderId="52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7" borderId="54" xfId="0" applyNumberFormat="1" applyFill="1" applyBorder="1" applyAlignment="1" applyProtection="1">
      <alignment horizontal="center"/>
      <protection locked="0"/>
    </xf>
    <xf numFmtId="0" fontId="0" fillId="7" borderId="15" xfId="0" applyNumberFormat="1" applyFill="1" applyBorder="1" applyAlignment="1" applyProtection="1">
      <alignment horizontal="center"/>
      <protection locked="0"/>
    </xf>
    <xf numFmtId="0" fontId="0" fillId="7" borderId="55" xfId="0" applyNumberFormat="1" applyFill="1" applyBorder="1" applyAlignment="1" applyProtection="1">
      <alignment horizontal="center"/>
      <protection locked="0"/>
    </xf>
    <xf numFmtId="0" fontId="0" fillId="7" borderId="56" xfId="0" applyNumberFormat="1" applyFill="1" applyBorder="1" applyAlignment="1" applyProtection="1">
      <alignment horizontal="center"/>
      <protection locked="0"/>
    </xf>
    <xf numFmtId="0" fontId="0" fillId="7" borderId="57" xfId="0" applyNumberFormat="1" applyFill="1" applyBorder="1" applyAlignment="1" applyProtection="1">
      <alignment horizontal="center"/>
      <protection locked="0"/>
    </xf>
    <xf numFmtId="0" fontId="0" fillId="7" borderId="5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quotePrefix="1">
      <alignment horizontal="center"/>
    </xf>
    <xf numFmtId="0" fontId="0" fillId="0" borderId="5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Moments pour les armatures parallèles à Oy (N-S) pour x = a/2</a:t>
            </a:r>
          </a:p>
        </c:rich>
      </c:tx>
      <c:layout>
        <c:manualLayout>
          <c:xMode val="factor"/>
          <c:yMode val="factor"/>
          <c:x val="-0.254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575"/>
          <c:w val="0.956"/>
          <c:h val="0.87925"/>
        </c:manualLayout>
      </c:layout>
      <c:scatterChart>
        <c:scatterStyle val="smooth"/>
        <c:varyColors val="0"/>
        <c:ser>
          <c:idx val="0"/>
          <c:order val="0"/>
          <c:tx>
            <c:strRef>
              <c:f>Feuil1!$U$60</c:f>
              <c:strCache>
                <c:ptCount val="1"/>
                <c:pt idx="0">
                  <c:v>My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Feuil1!$V$59:$AK$59</c:f>
              <c:numCache/>
            </c:numRef>
          </c:xVal>
          <c:yVal>
            <c:numRef>
              <c:f>Feuil1!$V$60:$AK$60</c:f>
              <c:numCache/>
            </c:numRef>
          </c:yVal>
          <c:smooth val="1"/>
        </c:ser>
        <c:ser>
          <c:idx val="1"/>
          <c:order val="1"/>
          <c:tx>
            <c:strRef>
              <c:f>Feuil1!$U$61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Feuil1!$V$59:$AK$59</c:f>
              <c:numCache/>
            </c:numRef>
          </c:xVal>
          <c:yVal>
            <c:numRef>
              <c:f>Feuil1!$V$61:$AK$61</c:f>
              <c:numCache/>
            </c:numRef>
          </c:yVal>
          <c:smooth val="1"/>
        </c:ser>
        <c:axId val="39725420"/>
        <c:axId val="21984461"/>
      </c:scatterChart>
      <c:valAx>
        <c:axId val="3972542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1984461"/>
        <c:crosses val="autoZero"/>
        <c:crossBetween val="midCat"/>
        <c:dispUnits/>
      </c:valAx>
      <c:valAx>
        <c:axId val="2198446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39725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Moments pour les armatures parallèles à Ox (E-W) pour y = b/2</a:t>
            </a:r>
          </a:p>
        </c:rich>
      </c:tx>
      <c:layout>
        <c:manualLayout>
          <c:xMode val="factor"/>
          <c:yMode val="factor"/>
          <c:x val="-0.209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4175"/>
          <c:w val="0.962"/>
          <c:h val="0.7232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Feuil1!$U$64</c:f>
              <c:strCache>
                <c:ptCount val="1"/>
                <c:pt idx="0">
                  <c:v>Mx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Feuil1!$V$63:$AK$63</c:f>
              <c:numCache/>
            </c:numRef>
          </c:xVal>
          <c:yVal>
            <c:numRef>
              <c:f>Feuil1!$V$64:$AK$64</c:f>
              <c:numCache/>
            </c:numRef>
          </c:yVal>
          <c:smooth val="1"/>
        </c:ser>
        <c:ser>
          <c:idx val="1"/>
          <c:order val="1"/>
          <c:tx>
            <c:strRef>
              <c:f>Feuil1!$U$65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Feuil1!$V$63:$AK$63</c:f>
              <c:numCache/>
            </c:numRef>
          </c:xVal>
          <c:yVal>
            <c:numRef>
              <c:f>Feuil1!$V$65:$AK$65</c:f>
              <c:numCache/>
            </c:numRef>
          </c:yVal>
          <c:smooth val="0"/>
        </c:ser>
        <c:axId val="63642422"/>
        <c:axId val="35910887"/>
      </c:scatterChart>
      <c:valAx>
        <c:axId val="6364242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35910887"/>
        <c:crosses val="autoZero"/>
        <c:crossBetween val="midCat"/>
        <c:dispUnits/>
      </c:valAx>
      <c:valAx>
        <c:axId val="3591088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63642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95"/>
          <c:y val="0.0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18</xdr:row>
      <xdr:rowOff>95250</xdr:rowOff>
    </xdr:from>
    <xdr:to>
      <xdr:col>7</xdr:col>
      <xdr:colOff>361950</xdr:colOff>
      <xdr:row>26</xdr:row>
      <xdr:rowOff>0</xdr:rowOff>
    </xdr:to>
    <xdr:pic>
      <xdr:nvPicPr>
        <xdr:cNvPr id="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057525"/>
          <a:ext cx="1819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58</xdr:row>
      <xdr:rowOff>133350</xdr:rowOff>
    </xdr:from>
    <xdr:to>
      <xdr:col>6</xdr:col>
      <xdr:colOff>314325</xdr:colOff>
      <xdr:row>77</xdr:row>
      <xdr:rowOff>38100</xdr:rowOff>
    </xdr:to>
    <xdr:graphicFrame>
      <xdr:nvGraphicFramePr>
        <xdr:cNvPr id="2" name="Chart 144"/>
        <xdr:cNvGraphicFramePr/>
      </xdr:nvGraphicFramePr>
      <xdr:xfrm>
        <a:off x="47625" y="9610725"/>
        <a:ext cx="44196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438150</xdr:colOff>
      <xdr:row>58</xdr:row>
      <xdr:rowOff>123825</xdr:rowOff>
    </xdr:from>
    <xdr:to>
      <xdr:col>15</xdr:col>
      <xdr:colOff>523875</xdr:colOff>
      <xdr:row>77</xdr:row>
      <xdr:rowOff>28575</xdr:rowOff>
    </xdr:to>
    <xdr:graphicFrame>
      <xdr:nvGraphicFramePr>
        <xdr:cNvPr id="3" name="Chart 145"/>
        <xdr:cNvGraphicFramePr/>
      </xdr:nvGraphicFramePr>
      <xdr:xfrm>
        <a:off x="4591050" y="9601200"/>
        <a:ext cx="519112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K216"/>
  <sheetViews>
    <sheetView showGridLines="0" tabSelected="1" view="pageBreakPreview" zoomScaleSheetLayoutView="100" zoomScalePageLayoutView="0" workbookViewId="0" topLeftCell="A1">
      <selection activeCell="H33" sqref="H33:N34"/>
    </sheetView>
  </sheetViews>
  <sheetFormatPr defaultColWidth="9.57421875" defaultRowHeight="12"/>
  <cols>
    <col min="1" max="1" width="20.8515625" style="1" customWidth="1"/>
    <col min="2" max="11" width="8.28125" style="1" customWidth="1"/>
    <col min="12" max="12" width="9.00390625" style="1" customWidth="1"/>
    <col min="13" max="14" width="8.28125" style="1" customWidth="1"/>
    <col min="15" max="16384" width="9.57421875" style="1" customWidth="1"/>
  </cols>
  <sheetData>
    <row r="1" spans="1:36" ht="12.75" thickBot="1">
      <c r="A1" s="2"/>
      <c r="B1" s="128" t="s">
        <v>99</v>
      </c>
      <c r="C1" s="128"/>
      <c r="D1" s="128"/>
      <c r="E1" s="128"/>
      <c r="F1" s="128"/>
      <c r="G1" s="128"/>
      <c r="H1" s="128"/>
      <c r="I1" s="128"/>
      <c r="V1" s="31" t="s">
        <v>41</v>
      </c>
      <c r="Y1" s="45">
        <v>1</v>
      </c>
      <c r="Z1" s="46">
        <v>2</v>
      </c>
      <c r="AA1" s="46">
        <v>3</v>
      </c>
      <c r="AB1" s="46">
        <v>4</v>
      </c>
      <c r="AC1" s="46">
        <v>5</v>
      </c>
      <c r="AD1" s="46">
        <v>6</v>
      </c>
      <c r="AE1" s="46">
        <v>7</v>
      </c>
      <c r="AF1" s="46">
        <v>8</v>
      </c>
      <c r="AG1" s="46">
        <v>9</v>
      </c>
      <c r="AH1" s="46">
        <v>10</v>
      </c>
      <c r="AI1" s="46">
        <v>11</v>
      </c>
      <c r="AJ1" s="47">
        <v>12</v>
      </c>
    </row>
    <row r="2" spans="22:23" ht="12">
      <c r="V2" s="52">
        <f>I10</f>
        <v>3</v>
      </c>
      <c r="W2" s="33" t="str">
        <f>VLOOKUP(V2,W$9:X$11,2)</f>
        <v>encastré</v>
      </c>
    </row>
    <row r="3" spans="1:27" ht="12">
      <c r="A3" s="10" t="s">
        <v>102</v>
      </c>
      <c r="B3" s="9"/>
      <c r="C3" s="9"/>
      <c r="D3" s="9"/>
      <c r="E3" s="9"/>
      <c r="F3" s="9"/>
      <c r="K3" s="9"/>
      <c r="L3" s="9"/>
      <c r="M3" s="9"/>
      <c r="N3" s="9"/>
      <c r="O3" s="9"/>
      <c r="P3" s="9"/>
      <c r="Q3" s="9"/>
      <c r="U3" s="9"/>
      <c r="V3" s="53">
        <f>I11</f>
        <v>2</v>
      </c>
      <c r="W3" s="33" t="str">
        <f>VLOOKUP(V3,W$9:X$11,2)</f>
        <v>articulé</v>
      </c>
      <c r="X3" s="9"/>
      <c r="Z3" s="9"/>
      <c r="AA3" s="48">
        <v>1</v>
      </c>
    </row>
    <row r="4" spans="1:27" ht="12">
      <c r="A4" s="10" t="s">
        <v>100</v>
      </c>
      <c r="B4" s="9"/>
      <c r="C4" s="9"/>
      <c r="D4" s="9"/>
      <c r="E4" s="9"/>
      <c r="F4" s="9"/>
      <c r="K4" s="9"/>
      <c r="L4" s="9"/>
      <c r="M4" s="9"/>
      <c r="N4" s="9"/>
      <c r="O4" s="9"/>
      <c r="P4" s="9"/>
      <c r="Q4" s="9"/>
      <c r="U4" s="9"/>
      <c r="V4" s="53">
        <v>2</v>
      </c>
      <c r="W4" s="33" t="str">
        <f>VLOOKUP(V4,W$9:X$11,2)</f>
        <v>articulé</v>
      </c>
      <c r="X4" s="9"/>
      <c r="Z4" s="9"/>
      <c r="AA4" s="49">
        <v>2</v>
      </c>
    </row>
    <row r="5" spans="1:27" ht="12">
      <c r="A5" s="12" t="s">
        <v>101</v>
      </c>
      <c r="B5" s="9"/>
      <c r="C5" s="9"/>
      <c r="D5" s="9"/>
      <c r="E5" s="9"/>
      <c r="F5" s="9"/>
      <c r="K5" s="9"/>
      <c r="L5" s="9"/>
      <c r="M5" s="9"/>
      <c r="N5" s="9"/>
      <c r="O5" s="9"/>
      <c r="P5" s="9"/>
      <c r="Q5" s="9"/>
      <c r="U5" s="9"/>
      <c r="V5" s="54">
        <v>2</v>
      </c>
      <c r="W5" s="33" t="str">
        <f>VLOOKUP(V5,W$9:X$11,2)</f>
        <v>articulé</v>
      </c>
      <c r="X5" s="9"/>
      <c r="Z5" s="9"/>
      <c r="AA5" s="49">
        <v>3</v>
      </c>
    </row>
    <row r="6" spans="1:27" ht="12">
      <c r="A6" s="10"/>
      <c r="B6" s="9"/>
      <c r="C6" s="9"/>
      <c r="D6" s="9"/>
      <c r="E6" s="9"/>
      <c r="F6" s="9"/>
      <c r="K6" s="9"/>
      <c r="L6" s="9"/>
      <c r="M6" s="9"/>
      <c r="N6" s="9"/>
      <c r="O6" s="9"/>
      <c r="P6" s="9"/>
      <c r="Q6" s="9"/>
      <c r="U6" s="9"/>
      <c r="V6" s="9"/>
      <c r="W6" s="9"/>
      <c r="X6" s="9"/>
      <c r="Z6" s="9"/>
      <c r="AA6" s="49">
        <v>4</v>
      </c>
    </row>
    <row r="7" spans="1:27" ht="14.25" thickBot="1">
      <c r="A7" s="9"/>
      <c r="B7" s="15" t="s">
        <v>14</v>
      </c>
      <c r="C7" s="65" t="s">
        <v>40</v>
      </c>
      <c r="D7" s="9"/>
      <c r="E7" s="9"/>
      <c r="F7" s="9"/>
      <c r="G7" s="9"/>
      <c r="H7" s="14" t="s">
        <v>87</v>
      </c>
      <c r="L7" s="9"/>
      <c r="M7" s="9"/>
      <c r="N7" s="5" t="s">
        <v>13</v>
      </c>
      <c r="O7" s="9"/>
      <c r="P7" s="9"/>
      <c r="U7" s="9"/>
      <c r="V7" s="9" t="s">
        <v>75</v>
      </c>
      <c r="W7" s="22"/>
      <c r="X7" s="9"/>
      <c r="Y7" s="9"/>
      <c r="Z7" s="9"/>
      <c r="AA7" s="49">
        <v>5</v>
      </c>
    </row>
    <row r="8" spans="1:27" ht="14.25" thickTop="1">
      <c r="A8" s="17" t="s">
        <v>0</v>
      </c>
      <c r="B8" s="4">
        <v>8</v>
      </c>
      <c r="C8" s="18" t="s">
        <v>3</v>
      </c>
      <c r="D8" s="18" t="s">
        <v>16</v>
      </c>
      <c r="E8" s="9"/>
      <c r="F8" s="9"/>
      <c r="G8" s="9"/>
      <c r="H8" s="14" t="s">
        <v>86</v>
      </c>
      <c r="I8" s="9"/>
      <c r="J8" s="9"/>
      <c r="N8" s="5" t="s">
        <v>15</v>
      </c>
      <c r="O8" s="1"/>
      <c r="U8" s="43" t="s">
        <v>70</v>
      </c>
      <c r="V8" s="41">
        <f>D22+B13*h</f>
        <v>40</v>
      </c>
      <c r="Z8" s="9"/>
      <c r="AA8" s="49">
        <v>6</v>
      </c>
    </row>
    <row r="9" spans="1:27" ht="14.25" thickBot="1">
      <c r="A9" s="17" t="s">
        <v>1</v>
      </c>
      <c r="B9" s="6">
        <v>4</v>
      </c>
      <c r="C9" s="18" t="s">
        <v>3</v>
      </c>
      <c r="D9" s="18" t="s">
        <v>18</v>
      </c>
      <c r="E9" s="9"/>
      <c r="F9" s="9"/>
      <c r="G9" s="9"/>
      <c r="H9" s="16"/>
      <c r="I9" s="15" t="s">
        <v>85</v>
      </c>
      <c r="J9" s="9"/>
      <c r="N9" s="5" t="s">
        <v>17</v>
      </c>
      <c r="P9" s="9"/>
      <c r="U9" s="43" t="s">
        <v>71</v>
      </c>
      <c r="V9" s="55">
        <f>D23+B13*h</f>
        <v>40</v>
      </c>
      <c r="W9" s="56">
        <v>1</v>
      </c>
      <c r="X9" s="57" t="s">
        <v>37</v>
      </c>
      <c r="Y9" s="39">
        <v>1</v>
      </c>
      <c r="Z9" s="9"/>
      <c r="AA9" s="49">
        <v>7</v>
      </c>
    </row>
    <row r="10" spans="1:27" ht="14.25" thickTop="1">
      <c r="A10" s="17" t="s">
        <v>2</v>
      </c>
      <c r="B10" s="6">
        <v>0.25</v>
      </c>
      <c r="C10" s="21" t="s">
        <v>3</v>
      </c>
      <c r="D10" s="18" t="s">
        <v>19</v>
      </c>
      <c r="E10" s="9"/>
      <c r="F10" s="9"/>
      <c r="G10" s="9"/>
      <c r="H10" s="3" t="s">
        <v>92</v>
      </c>
      <c r="I10" s="19">
        <v>3</v>
      </c>
      <c r="J10" s="12" t="str">
        <f>INDEX(X$9:X$11,I10,1)</f>
        <v>encastré</v>
      </c>
      <c r="N10" s="5" t="s">
        <v>4</v>
      </c>
      <c r="P10" s="9"/>
      <c r="U10" s="43" t="s">
        <v>72</v>
      </c>
      <c r="V10" s="55">
        <f>D24+B13*h</f>
        <v>0</v>
      </c>
      <c r="W10" s="58">
        <v>2</v>
      </c>
      <c r="X10" s="20" t="s">
        <v>38</v>
      </c>
      <c r="Y10" s="59">
        <v>2</v>
      </c>
      <c r="Z10" s="9"/>
      <c r="AA10" s="49">
        <v>8</v>
      </c>
    </row>
    <row r="11" spans="1:27" ht="14.25" thickBot="1">
      <c r="A11" s="17" t="s">
        <v>20</v>
      </c>
      <c r="B11" s="7">
        <v>11000</v>
      </c>
      <c r="C11" s="21" t="s">
        <v>5</v>
      </c>
      <c r="D11" s="18" t="s">
        <v>21</v>
      </c>
      <c r="E11" s="9"/>
      <c r="F11" s="9"/>
      <c r="G11" s="9"/>
      <c r="H11" s="43" t="s">
        <v>89</v>
      </c>
      <c r="I11" s="23">
        <v>2</v>
      </c>
      <c r="J11" s="12" t="str">
        <f>INDEX(X$9:X$11,I11,1)</f>
        <v>articulé</v>
      </c>
      <c r="M11" s="9"/>
      <c r="N11" s="9"/>
      <c r="O11" s="9"/>
      <c r="P11" s="9"/>
      <c r="U11" s="3" t="s">
        <v>73</v>
      </c>
      <c r="V11" s="55">
        <f>D25+B13*h</f>
        <v>0</v>
      </c>
      <c r="W11" s="60">
        <v>3</v>
      </c>
      <c r="X11" s="61" t="s">
        <v>39</v>
      </c>
      <c r="Y11" s="40">
        <v>3</v>
      </c>
      <c r="Z11" s="9"/>
      <c r="AA11" s="49">
        <v>9</v>
      </c>
    </row>
    <row r="12" spans="1:27" ht="14.25" thickTop="1">
      <c r="A12" s="8" t="s">
        <v>6</v>
      </c>
      <c r="B12" s="6">
        <v>0</v>
      </c>
      <c r="C12" s="21"/>
      <c r="D12" s="18" t="s">
        <v>22</v>
      </c>
      <c r="E12" s="9"/>
      <c r="F12" s="9"/>
      <c r="G12" s="9"/>
      <c r="H12" s="67" t="s">
        <v>90</v>
      </c>
      <c r="I12" s="27" t="s">
        <v>38</v>
      </c>
      <c r="J12" s="9"/>
      <c r="L12" s="9"/>
      <c r="M12" s="9"/>
      <c r="N12" s="21"/>
      <c r="O12" s="9"/>
      <c r="P12" s="9"/>
      <c r="U12" s="3" t="s">
        <v>36</v>
      </c>
      <c r="V12" s="42">
        <f>D26</f>
        <v>14.322916666666666</v>
      </c>
      <c r="W12" s="9"/>
      <c r="X12" s="9"/>
      <c r="Y12" s="9"/>
      <c r="Z12" s="9"/>
      <c r="AA12" s="49">
        <v>10</v>
      </c>
    </row>
    <row r="13" spans="1:27" ht="14.25" thickBot="1">
      <c r="A13" s="8" t="s">
        <v>25</v>
      </c>
      <c r="B13" s="38">
        <v>0</v>
      </c>
      <c r="C13" s="12" t="s">
        <v>26</v>
      </c>
      <c r="D13" s="12" t="s">
        <v>27</v>
      </c>
      <c r="E13" s="9"/>
      <c r="F13" s="9"/>
      <c r="G13" s="9"/>
      <c r="H13" s="67" t="s">
        <v>91</v>
      </c>
      <c r="I13" s="28" t="s">
        <v>38</v>
      </c>
      <c r="K13" s="9"/>
      <c r="L13" s="9"/>
      <c r="M13" s="9"/>
      <c r="N13" s="9"/>
      <c r="O13" s="9"/>
      <c r="P13" s="9"/>
      <c r="W13" s="9"/>
      <c r="X13" s="9"/>
      <c r="Y13" s="9"/>
      <c r="Z13" s="9"/>
      <c r="AA13" s="49">
        <v>11</v>
      </c>
    </row>
    <row r="14" spans="14:27" ht="12.75" thickTop="1">
      <c r="N14" s="9"/>
      <c r="O14" s="9"/>
      <c r="P14" s="9"/>
      <c r="Q14" s="9"/>
      <c r="U14" s="9"/>
      <c r="V14" s="9"/>
      <c r="W14" s="9"/>
      <c r="X14" s="9"/>
      <c r="Y14" s="9"/>
      <c r="Z14" s="9"/>
      <c r="AA14" s="50">
        <v>12</v>
      </c>
    </row>
    <row r="15" spans="1:26" ht="12">
      <c r="A15" s="1"/>
      <c r="V15" s="9"/>
      <c r="W15" s="9"/>
      <c r="X15" s="9"/>
      <c r="Y15" s="9"/>
      <c r="Z15" s="9"/>
    </row>
    <row r="16" spans="3:23" ht="12">
      <c r="C16" s="66"/>
      <c r="S16" s="9"/>
      <c r="T16" s="9"/>
      <c r="U16" s="9"/>
      <c r="V16" s="9"/>
      <c r="W16" s="9"/>
    </row>
    <row r="17" spans="3:23" ht="12">
      <c r="C17" s="66"/>
      <c r="G17" s="1"/>
      <c r="I17" s="68"/>
      <c r="J17" s="69"/>
      <c r="K17" s="69"/>
      <c r="L17" s="69"/>
      <c r="M17" s="69"/>
      <c r="N17" s="69"/>
      <c r="O17" s="70"/>
      <c r="T17" s="9"/>
      <c r="U17" s="9"/>
      <c r="V17" s="9"/>
      <c r="W17" s="9"/>
    </row>
    <row r="18" spans="1:23" ht="12">
      <c r="A18" s="9"/>
      <c r="B18" s="9"/>
      <c r="C18" s="9"/>
      <c r="D18" s="2"/>
      <c r="E18" s="9"/>
      <c r="F18" s="9"/>
      <c r="G18" s="9"/>
      <c r="H18" s="9"/>
      <c r="I18" s="71"/>
      <c r="J18" s="20"/>
      <c r="K18" s="72" t="s">
        <v>93</v>
      </c>
      <c r="L18" s="20"/>
      <c r="M18" s="73"/>
      <c r="N18" s="74"/>
      <c r="O18" s="75"/>
      <c r="T18" s="9"/>
      <c r="U18" s="9"/>
      <c r="V18" s="9"/>
      <c r="W18" s="9"/>
    </row>
    <row r="19" spans="1:23" ht="13.5">
      <c r="A19" s="10" t="s">
        <v>30</v>
      </c>
      <c r="B19" s="10"/>
      <c r="C19" s="10"/>
      <c r="D19" s="10"/>
      <c r="E19" s="15"/>
      <c r="F19" s="15"/>
      <c r="G19" s="15"/>
      <c r="H19" s="15"/>
      <c r="I19" s="71"/>
      <c r="J19" s="43" t="s">
        <v>12</v>
      </c>
      <c r="K19" s="24">
        <f>MAX(C35:N35,-MIN(C35:N35))</f>
        <v>1.5762</v>
      </c>
      <c r="L19" s="26" t="s">
        <v>97</v>
      </c>
      <c r="M19" s="20" t="s">
        <v>77</v>
      </c>
      <c r="N19" s="62" t="str">
        <f>" 1/"&amp;INT(1000*MIN(B8,B9)/K19)&amp;"°"</f>
        <v> 1/2537°</v>
      </c>
      <c r="O19" s="75"/>
      <c r="T19" s="9"/>
      <c r="U19" s="9"/>
      <c r="V19" s="9"/>
      <c r="W19" s="9"/>
    </row>
    <row r="20" spans="1:23" ht="12">
      <c r="A20" s="127" t="s">
        <v>33</v>
      </c>
      <c r="B20" s="127"/>
      <c r="C20" s="127"/>
      <c r="D20" s="127"/>
      <c r="E20" s="13"/>
      <c r="F20" s="13"/>
      <c r="G20" s="13"/>
      <c r="H20" s="13"/>
      <c r="I20" s="71"/>
      <c r="J20" s="43" t="s">
        <v>23</v>
      </c>
      <c r="K20" s="25">
        <f>MAX(C41:N42,-MIN(C41:N42))</f>
        <v>66.0954</v>
      </c>
      <c r="L20" s="26" t="s">
        <v>96</v>
      </c>
      <c r="M20" s="43" t="s">
        <v>24</v>
      </c>
      <c r="N20" s="63">
        <f>1.5*K20/1000/B10</f>
        <v>0.3965724</v>
      </c>
      <c r="O20" s="76" t="s">
        <v>5</v>
      </c>
      <c r="P20" s="9"/>
      <c r="T20" s="9"/>
      <c r="U20" s="9"/>
      <c r="V20" s="9"/>
      <c r="W20" s="9"/>
    </row>
    <row r="21" spans="2:23" ht="14.25" thickBot="1">
      <c r="B21" s="29"/>
      <c r="C21" s="3" t="s">
        <v>34</v>
      </c>
      <c r="D21" s="30"/>
      <c r="F21" s="13"/>
      <c r="G21" s="13"/>
      <c r="H21" s="13"/>
      <c r="I21" s="77"/>
      <c r="J21" s="43" t="s">
        <v>11</v>
      </c>
      <c r="K21" s="25">
        <f>MAX(C38:N39,B50:N51,B57:N58,-MIN(C38:N39,B50:N51,B57:N58))</f>
        <v>41.803000000000004</v>
      </c>
      <c r="L21" s="26" t="s">
        <v>98</v>
      </c>
      <c r="M21" s="43" t="s">
        <v>76</v>
      </c>
      <c r="N21" s="64">
        <f>K21/1000/B10^2</f>
        <v>0.6688480000000001</v>
      </c>
      <c r="O21" s="76" t="s">
        <v>5</v>
      </c>
      <c r="P21" s="9"/>
      <c r="Q21" s="9"/>
      <c r="T21" s="9"/>
      <c r="U21" s="9"/>
      <c r="V21" s="9"/>
      <c r="W21" s="9"/>
    </row>
    <row r="22" spans="1:23" ht="14.25" thickTop="1">
      <c r="A22" s="2"/>
      <c r="B22" s="2"/>
      <c r="C22" s="3" t="s">
        <v>88</v>
      </c>
      <c r="D22" s="4">
        <v>40</v>
      </c>
      <c r="E22" s="26" t="s">
        <v>72</v>
      </c>
      <c r="F22" s="20"/>
      <c r="G22" s="20"/>
      <c r="H22" s="20"/>
      <c r="I22" s="78"/>
      <c r="J22" s="43" t="s">
        <v>28</v>
      </c>
      <c r="K22" s="25">
        <f>MAX(C40:N40,-MIN(C40:N40))</f>
        <v>1.06528</v>
      </c>
      <c r="L22" s="26" t="s">
        <v>8</v>
      </c>
      <c r="M22" s="74"/>
      <c r="N22" s="74"/>
      <c r="O22" s="75"/>
      <c r="P22" s="9"/>
      <c r="Q22" s="9"/>
      <c r="T22" s="9"/>
      <c r="U22" s="9"/>
      <c r="V22" s="9"/>
      <c r="W22" s="9"/>
    </row>
    <row r="23" spans="1:23" ht="13.5">
      <c r="A23" s="2"/>
      <c r="B23" s="2"/>
      <c r="C23" s="3" t="s">
        <v>78</v>
      </c>
      <c r="D23" s="6">
        <v>40</v>
      </c>
      <c r="E23" s="26" t="s">
        <v>71</v>
      </c>
      <c r="H23" s="20"/>
      <c r="I23" s="79"/>
      <c r="J23" s="43" t="s">
        <v>29</v>
      </c>
      <c r="K23" s="25">
        <f>MAX(C43:N44,-MIN(C43:N44))</f>
        <v>66.0954</v>
      </c>
      <c r="L23" s="26" t="s">
        <v>9</v>
      </c>
      <c r="M23" s="80"/>
      <c r="N23" s="20"/>
      <c r="O23" s="81"/>
      <c r="P23" s="9"/>
      <c r="Q23" s="9"/>
      <c r="R23" s="9"/>
      <c r="S23" s="9"/>
      <c r="T23" s="9"/>
      <c r="U23" s="9"/>
      <c r="V23" s="9"/>
      <c r="W23" s="9"/>
    </row>
    <row r="24" spans="1:23" ht="14.25" thickBot="1">
      <c r="A24" s="2"/>
      <c r="B24" s="2"/>
      <c r="C24" s="3" t="s">
        <v>79</v>
      </c>
      <c r="D24" s="38">
        <v>0</v>
      </c>
      <c r="E24" s="26" t="s">
        <v>81</v>
      </c>
      <c r="H24" s="20"/>
      <c r="I24" s="77"/>
      <c r="J24" s="20"/>
      <c r="K24" s="20"/>
      <c r="L24" s="20"/>
      <c r="M24" s="20"/>
      <c r="N24" s="20"/>
      <c r="O24" s="81"/>
      <c r="P24" s="9"/>
      <c r="Q24" s="9"/>
      <c r="R24" s="9"/>
      <c r="S24" s="9"/>
      <c r="T24" s="9"/>
      <c r="U24" s="9"/>
      <c r="V24" s="9"/>
      <c r="W24" s="9"/>
    </row>
    <row r="25" spans="1:23" ht="14.25" thickTop="1">
      <c r="A25" s="2"/>
      <c r="B25" s="2"/>
      <c r="C25" s="3" t="s">
        <v>80</v>
      </c>
      <c r="D25" s="87">
        <f>D23+D24-D22</f>
        <v>0</v>
      </c>
      <c r="E25" s="26" t="s">
        <v>73</v>
      </c>
      <c r="F25" s="9"/>
      <c r="G25" s="9"/>
      <c r="H25" s="9"/>
      <c r="I25" s="77"/>
      <c r="J25" s="43" t="s">
        <v>94</v>
      </c>
      <c r="K25" s="118">
        <f>MAX(C38:N38,B50:N50,B57:N57,-MIN(C38:N38,B50:N50,B57:N57))</f>
        <v>4.84342</v>
      </c>
      <c r="L25" s="26" t="s">
        <v>8</v>
      </c>
      <c r="M25" s="26" t="s">
        <v>106</v>
      </c>
      <c r="N25" s="20"/>
      <c r="O25" s="81"/>
      <c r="P25" s="9"/>
      <c r="Q25" s="9"/>
      <c r="R25" s="9"/>
      <c r="S25" s="9"/>
      <c r="T25" s="9"/>
      <c r="U25" s="9"/>
      <c r="V25" s="9"/>
      <c r="W25" s="9"/>
    </row>
    <row r="26" spans="1:23" ht="13.5">
      <c r="A26" s="3"/>
      <c r="B26" s="9"/>
      <c r="C26" s="3" t="s">
        <v>36</v>
      </c>
      <c r="D26" s="88">
        <f>B11*h^3/12</f>
        <v>14.322916666666666</v>
      </c>
      <c r="H26" s="2"/>
      <c r="I26" s="82"/>
      <c r="J26" s="43" t="s">
        <v>95</v>
      </c>
      <c r="K26" s="119">
        <f>MAX(C39:N39,B51:N51,B58:N58,-MIN(C39:N39,B51:N51,B58:N58))</f>
        <v>41.803000000000004</v>
      </c>
      <c r="L26" s="26" t="s">
        <v>8</v>
      </c>
      <c r="M26" s="26" t="s">
        <v>107</v>
      </c>
      <c r="N26" s="20"/>
      <c r="O26" s="81"/>
      <c r="P26" s="9"/>
      <c r="Q26" s="9"/>
      <c r="T26" s="9"/>
      <c r="U26" s="9"/>
      <c r="V26" s="9"/>
      <c r="W26" s="9"/>
    </row>
    <row r="27" spans="1:23" ht="12">
      <c r="A27" s="9"/>
      <c r="E27" s="9"/>
      <c r="H27" s="9"/>
      <c r="I27" s="82"/>
      <c r="J27" s="43" t="s">
        <v>35</v>
      </c>
      <c r="K27" s="120">
        <f>SUM(V8:V11)/4*a*b</f>
        <v>640</v>
      </c>
      <c r="L27" s="26" t="s">
        <v>7</v>
      </c>
      <c r="M27" s="74"/>
      <c r="N27" s="20"/>
      <c r="O27" s="81"/>
      <c r="P27" s="9"/>
      <c r="U27" s="9"/>
      <c r="V27" s="9"/>
      <c r="W27" s="9"/>
    </row>
    <row r="28" spans="1:21" ht="12">
      <c r="A28" s="9"/>
      <c r="B28" s="9"/>
      <c r="C28" s="9"/>
      <c r="D28" s="9"/>
      <c r="E28" s="9"/>
      <c r="F28" s="9"/>
      <c r="G28" s="9"/>
      <c r="H28" s="9"/>
      <c r="I28" s="83"/>
      <c r="J28" s="84"/>
      <c r="K28" s="84"/>
      <c r="L28" s="84"/>
      <c r="M28" s="85"/>
      <c r="N28" s="85"/>
      <c r="O28" s="86"/>
      <c r="P28" s="9"/>
      <c r="T28" s="44" t="str">
        <f>fDALLREC(tx,ty,tabd,tabchrep,tabart,12)</f>
        <v>330140000033012000001301157620000000000011014200243301175122330217538900000000000000000000330132887400000000003301374987000000000033012000000000000000110111186800000000000000000000000000000011011068763302184653000000000033022788240000000000330180000033012000000000000000310111186800000000000000000000000000000031011068761302184653000000000013022788240000000000330140000000000000001104907773000000000031058271013104431195130241803000000000000000000000330266095400000000003302660954330140000033014000003104121243000000000033011378593102809739110275941800000000000000000000130216016000000000001302177014330125000033012000001301142842110145761911015068923301299711330215825111011245033101117200330124256233013393093301295472330120000033012000001301129068110129692311016073023301375244330214232813011065283301247254330117583733016356163301227934330160000033012000001301129068310129692311016073023301375244330214232833011065281301247254330117583713016356163301227934330140000033014000003104121243000000000033011378593102809739110275941800000000000000000000130216016000000000001302177014000000000000000000000000000000110523247600000000000000000000000000000031051664161302343123000000000013026862470000000000000000000000000000000000000000110523247600000000000000000000000000000031051664161302343123000000000013026862470000000000000000000000000000000000000000110523247600000000000000000000000000000031051664161302343123000000000013026862470000000000000000000000000000000000000000000000000000000000000000000000</v>
      </c>
      <c r="U28" s="11" t="s">
        <v>63</v>
      </c>
    </row>
    <row r="29" spans="1:16" ht="12">
      <c r="A29" s="11"/>
      <c r="B29" s="9"/>
      <c r="C29" s="2"/>
      <c r="D29" s="2"/>
      <c r="E29" s="2"/>
      <c r="F29" s="2"/>
      <c r="G29" s="2"/>
      <c r="H29" s="2"/>
      <c r="I29" s="2"/>
      <c r="J29" s="2"/>
      <c r="M29" s="9"/>
      <c r="N29" s="9"/>
      <c r="O29" s="9"/>
      <c r="P29" s="9"/>
    </row>
    <row r="30" spans="5:20" ht="12">
      <c r="E30" s="11"/>
      <c r="F30" s="11"/>
      <c r="G30" s="35"/>
      <c r="N30">
        <f>IF(N$33="",IF(N$34="",0,uuu))</f>
        <v>0</v>
      </c>
      <c r="T30" s="34"/>
    </row>
    <row r="31" spans="1:20" ht="12">
      <c r="A31" s="10" t="s">
        <v>65</v>
      </c>
      <c r="B31" s="3" t="s">
        <v>68</v>
      </c>
      <c r="C31" s="109" t="s">
        <v>54</v>
      </c>
      <c r="D31" s="110">
        <v>0</v>
      </c>
      <c r="E31" s="109" t="s">
        <v>0</v>
      </c>
      <c r="F31" s="109" t="s">
        <v>54</v>
      </c>
      <c r="G31" s="109" t="s">
        <v>54</v>
      </c>
      <c r="H31" s="111">
        <f>H33/a</f>
        <v>0.3125</v>
      </c>
      <c r="I31" s="111">
        <f aca="true" t="shared" si="0" ref="I31:N31">I33/a</f>
        <v>0.25</v>
      </c>
      <c r="J31" s="111">
        <f t="shared" si="0"/>
        <v>0.75</v>
      </c>
      <c r="K31" s="111">
        <f t="shared" si="0"/>
        <v>0.5</v>
      </c>
      <c r="L31" s="111">
        <f t="shared" si="0"/>
        <v>0</v>
      </c>
      <c r="M31" s="111">
        <f t="shared" si="0"/>
        <v>0</v>
      </c>
      <c r="N31" s="111">
        <f t="shared" si="0"/>
        <v>0</v>
      </c>
      <c r="T31" s="34"/>
    </row>
    <row r="32" spans="1:20" ht="12.75" thickBot="1">
      <c r="A32" s="1"/>
      <c r="B32" s="3" t="s">
        <v>69</v>
      </c>
      <c r="C32" s="112" t="s">
        <v>53</v>
      </c>
      <c r="D32" s="112" t="s">
        <v>53</v>
      </c>
      <c r="E32" s="113" t="s">
        <v>53</v>
      </c>
      <c r="F32" s="112">
        <v>0</v>
      </c>
      <c r="G32" s="112" t="s">
        <v>1</v>
      </c>
      <c r="H32" s="116">
        <f>H34/b</f>
        <v>0.5</v>
      </c>
      <c r="I32" s="116">
        <f aca="true" t="shared" si="1" ref="I32:N32">I34/b</f>
        <v>0.5</v>
      </c>
      <c r="J32" s="116">
        <f t="shared" si="1"/>
        <v>0.5</v>
      </c>
      <c r="K32" s="116">
        <f t="shared" si="1"/>
        <v>1</v>
      </c>
      <c r="L32" s="116">
        <f t="shared" si="1"/>
        <v>0</v>
      </c>
      <c r="M32" s="116">
        <f t="shared" si="1"/>
        <v>0</v>
      </c>
      <c r="N32" s="116">
        <f t="shared" si="1"/>
        <v>0</v>
      </c>
      <c r="T32" s="34"/>
    </row>
    <row r="33" spans="1:20" ht="12.75" thickTop="1">
      <c r="A33" s="32" t="s">
        <v>45</v>
      </c>
      <c r="B33" s="32" t="s">
        <v>31</v>
      </c>
      <c r="C33" s="113">
        <f>a/2</f>
        <v>4</v>
      </c>
      <c r="D33" s="113">
        <v>0</v>
      </c>
      <c r="E33" s="113">
        <f>a</f>
        <v>8</v>
      </c>
      <c r="F33" s="113">
        <f>a/2</f>
        <v>4</v>
      </c>
      <c r="G33" s="115">
        <f>a/2</f>
        <v>4</v>
      </c>
      <c r="H33" s="121">
        <v>2.5</v>
      </c>
      <c r="I33" s="122">
        <v>2</v>
      </c>
      <c r="J33" s="122">
        <v>6</v>
      </c>
      <c r="K33" s="122">
        <v>4</v>
      </c>
      <c r="L33" s="122"/>
      <c r="M33" s="122"/>
      <c r="N33" s="123"/>
      <c r="O33" s="33" t="s">
        <v>3</v>
      </c>
      <c r="T33" s="34"/>
    </row>
    <row r="34" spans="1:20" ht="12.75" thickBot="1">
      <c r="A34" s="32" t="s">
        <v>46</v>
      </c>
      <c r="B34" s="32" t="s">
        <v>32</v>
      </c>
      <c r="C34" s="113">
        <f>b/2</f>
        <v>2</v>
      </c>
      <c r="D34" s="113">
        <f>b/2</f>
        <v>2</v>
      </c>
      <c r="E34" s="113">
        <f>b/2</f>
        <v>2</v>
      </c>
      <c r="F34" s="113">
        <v>0</v>
      </c>
      <c r="G34" s="115">
        <f>b</f>
        <v>4</v>
      </c>
      <c r="H34" s="124">
        <v>2</v>
      </c>
      <c r="I34" s="125">
        <v>2</v>
      </c>
      <c r="J34" s="125">
        <v>2</v>
      </c>
      <c r="K34" s="125">
        <v>4</v>
      </c>
      <c r="L34" s="125"/>
      <c r="M34" s="125"/>
      <c r="N34" s="126"/>
      <c r="O34" s="33" t="s">
        <v>3</v>
      </c>
      <c r="T34" s="34"/>
    </row>
    <row r="35" spans="1:20" ht="12.75" thickTop="1">
      <c r="A35" s="32" t="s">
        <v>47</v>
      </c>
      <c r="B35" s="32" t="s">
        <v>42</v>
      </c>
      <c r="C35" s="114">
        <f aca="true" t="shared" si="2" ref="C35:N40">macf($T$28,$AA5+(Y$1-1)*12)</f>
        <v>-1.5762</v>
      </c>
      <c r="D35" s="114">
        <f t="shared" si="2"/>
        <v>0</v>
      </c>
      <c r="E35" s="114">
        <f t="shared" si="2"/>
        <v>0</v>
      </c>
      <c r="F35" s="114">
        <f t="shared" si="2"/>
        <v>-0.00011015969851493711</v>
      </c>
      <c r="G35" s="114">
        <f t="shared" si="2"/>
        <v>0.000824789884776853</v>
      </c>
      <c r="H35" s="117">
        <f t="shared" si="2"/>
        <v>-1.42842</v>
      </c>
      <c r="I35" s="117">
        <f t="shared" si="2"/>
        <v>-1.29068</v>
      </c>
      <c r="J35" s="117">
        <f t="shared" si="2"/>
        <v>-1.29068</v>
      </c>
      <c r="K35" s="117">
        <f t="shared" si="2"/>
        <v>0.000824789884776853</v>
      </c>
      <c r="L35" s="117">
        <f t="shared" si="2"/>
        <v>0</v>
      </c>
      <c r="M35" s="117">
        <f t="shared" si="2"/>
        <v>0</v>
      </c>
      <c r="N35" s="117">
        <f t="shared" si="2"/>
        <v>0</v>
      </c>
      <c r="O35" s="33" t="s">
        <v>10</v>
      </c>
      <c r="T35" s="34"/>
    </row>
    <row r="36" spans="1:19" ht="13.5">
      <c r="A36" s="32" t="s">
        <v>104</v>
      </c>
      <c r="B36" s="51" t="s">
        <v>57</v>
      </c>
      <c r="C36" s="114">
        <f t="shared" si="2"/>
        <v>0</v>
      </c>
      <c r="D36" s="114">
        <f t="shared" si="2"/>
        <v>-0.8939106804448098</v>
      </c>
      <c r="E36" s="114">
        <f t="shared" si="2"/>
        <v>0.8939106804448098</v>
      </c>
      <c r="F36" s="114">
        <f t="shared" si="2"/>
        <v>0</v>
      </c>
      <c r="G36" s="114">
        <f t="shared" si="2"/>
        <v>0</v>
      </c>
      <c r="H36" s="114">
        <f t="shared" si="2"/>
        <v>-0.218522395267679</v>
      </c>
      <c r="I36" s="114">
        <f t="shared" si="2"/>
        <v>-0.3367876520175264</v>
      </c>
      <c r="J36" s="114">
        <f t="shared" si="2"/>
        <v>0.3367876520175264</v>
      </c>
      <c r="K36" s="114">
        <f t="shared" si="2"/>
        <v>0</v>
      </c>
      <c r="L36" s="114">
        <f t="shared" si="2"/>
        <v>-4.301519296615564E-05</v>
      </c>
      <c r="M36" s="114">
        <f t="shared" si="2"/>
        <v>-4.301519296615564E-05</v>
      </c>
      <c r="N36" s="114">
        <f t="shared" si="2"/>
        <v>-4.301519296615564E-05</v>
      </c>
      <c r="O36" s="33" t="s">
        <v>56</v>
      </c>
      <c r="S36" s="1"/>
    </row>
    <row r="37" spans="1:19" ht="13.5">
      <c r="A37" s="32" t="s">
        <v>105</v>
      </c>
      <c r="B37" s="51" t="s">
        <v>82</v>
      </c>
      <c r="C37" s="114">
        <f t="shared" si="2"/>
        <v>-0.23808163343047065</v>
      </c>
      <c r="D37" s="114">
        <f t="shared" si="2"/>
        <v>0</v>
      </c>
      <c r="E37" s="114">
        <f t="shared" si="2"/>
        <v>0</v>
      </c>
      <c r="F37" s="114">
        <f t="shared" si="2"/>
        <v>1.209042184690866E-05</v>
      </c>
      <c r="G37" s="114">
        <f t="shared" si="2"/>
        <v>1.3785900000000002</v>
      </c>
      <c r="H37" s="114">
        <f t="shared" si="2"/>
        <v>-0.19728068306463703</v>
      </c>
      <c r="I37" s="114">
        <f t="shared" si="2"/>
        <v>-0.16466272134786317</v>
      </c>
      <c r="J37" s="114">
        <f t="shared" si="2"/>
        <v>-0.16466272134786317</v>
      </c>
      <c r="K37" s="114">
        <f t="shared" si="2"/>
        <v>1.3785900000000002</v>
      </c>
      <c r="L37" s="114">
        <f t="shared" si="2"/>
        <v>0</v>
      </c>
      <c r="M37" s="114">
        <f t="shared" si="2"/>
        <v>0</v>
      </c>
      <c r="N37" s="114">
        <f t="shared" si="2"/>
        <v>0</v>
      </c>
      <c r="O37" s="33" t="s">
        <v>56</v>
      </c>
      <c r="S37" s="1"/>
    </row>
    <row r="38" spans="1:19" ht="13.5">
      <c r="A38" s="3" t="s">
        <v>67</v>
      </c>
      <c r="B38" s="3" t="s">
        <v>58</v>
      </c>
      <c r="C38" s="106">
        <f t="shared" si="2"/>
        <v>1.7512200000000002</v>
      </c>
      <c r="D38" s="106">
        <f t="shared" si="2"/>
        <v>0</v>
      </c>
      <c r="E38" s="106">
        <f t="shared" si="2"/>
        <v>0</v>
      </c>
      <c r="F38" s="106">
        <f t="shared" si="2"/>
        <v>0.00023191363536219112</v>
      </c>
      <c r="G38" s="106">
        <f t="shared" si="2"/>
        <v>0.012349658346701839</v>
      </c>
      <c r="H38" s="106">
        <f t="shared" si="2"/>
        <v>2.99711</v>
      </c>
      <c r="I38" s="106">
        <f t="shared" si="2"/>
        <v>3.7524400000000004</v>
      </c>
      <c r="J38" s="106">
        <f t="shared" si="2"/>
        <v>3.7524400000000004</v>
      </c>
      <c r="K38" s="106">
        <f t="shared" si="2"/>
        <v>0.012349658346701839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33" t="s">
        <v>55</v>
      </c>
      <c r="S38" s="1"/>
    </row>
    <row r="39" spans="1:19" ht="12">
      <c r="A39" s="3" t="s">
        <v>66</v>
      </c>
      <c r="B39" s="3" t="s">
        <v>43</v>
      </c>
      <c r="C39" s="106">
        <f t="shared" si="2"/>
        <v>17.5389</v>
      </c>
      <c r="D39" s="106">
        <f t="shared" si="2"/>
        <v>0</v>
      </c>
      <c r="E39" s="106">
        <f t="shared" si="2"/>
        <v>0</v>
      </c>
      <c r="F39" s="106">
        <f t="shared" si="2"/>
        <v>-41.803000000000004</v>
      </c>
      <c r="G39" s="106">
        <f t="shared" si="2"/>
        <v>-0.013167978636271461</v>
      </c>
      <c r="H39" s="106">
        <f t="shared" si="2"/>
        <v>15.8251</v>
      </c>
      <c r="I39" s="106">
        <f t="shared" si="2"/>
        <v>14.232800000000001</v>
      </c>
      <c r="J39" s="106">
        <f t="shared" si="2"/>
        <v>14.232800000000001</v>
      </c>
      <c r="K39" s="106">
        <f t="shared" si="2"/>
        <v>-0.013167978636271461</v>
      </c>
      <c r="L39" s="106">
        <f t="shared" si="2"/>
        <v>0</v>
      </c>
      <c r="M39" s="106">
        <f t="shared" si="2"/>
        <v>0</v>
      </c>
      <c r="N39" s="106">
        <f t="shared" si="2"/>
        <v>0</v>
      </c>
      <c r="O39" s="33" t="s">
        <v>55</v>
      </c>
      <c r="S39" s="1"/>
    </row>
    <row r="40" spans="1:19" ht="12">
      <c r="A40" s="32" t="s">
        <v>48</v>
      </c>
      <c r="B40" s="32" t="s">
        <v>44</v>
      </c>
      <c r="C40" s="114">
        <f t="shared" si="2"/>
        <v>0</v>
      </c>
      <c r="D40" s="114">
        <f t="shared" si="2"/>
        <v>-0.9356637598712525</v>
      </c>
      <c r="E40" s="114">
        <f t="shared" si="2"/>
        <v>0.9356637598712525</v>
      </c>
      <c r="F40" s="114">
        <f t="shared" si="2"/>
        <v>0</v>
      </c>
      <c r="G40" s="114">
        <f t="shared" si="2"/>
        <v>0</v>
      </c>
      <c r="H40" s="114">
        <f t="shared" si="2"/>
        <v>-0.8031934973454454</v>
      </c>
      <c r="I40" s="114">
        <f t="shared" si="2"/>
        <v>-1.06528</v>
      </c>
      <c r="J40" s="114">
        <f t="shared" si="2"/>
        <v>1.06528</v>
      </c>
      <c r="K40" s="114">
        <f t="shared" si="2"/>
        <v>0</v>
      </c>
      <c r="L40" s="114">
        <f t="shared" si="2"/>
        <v>6.0090375925391784E-05</v>
      </c>
      <c r="M40" s="114">
        <f t="shared" si="2"/>
        <v>6.0090375925391784E-05</v>
      </c>
      <c r="N40" s="114">
        <f t="shared" si="2"/>
        <v>6.0090375925391784E-05</v>
      </c>
      <c r="O40" s="33" t="s">
        <v>55</v>
      </c>
      <c r="S40" s="1"/>
    </row>
    <row r="41" spans="1:19" ht="13.5">
      <c r="A41" s="32" t="s">
        <v>49</v>
      </c>
      <c r="B41" s="3" t="s">
        <v>59</v>
      </c>
      <c r="C41" s="106">
        <f aca="true" t="shared" si="3" ref="C41:G44">macf($T$28,$AA11+(Y$1-1)*12)</f>
        <v>0</v>
      </c>
      <c r="D41" s="106">
        <f t="shared" si="3"/>
        <v>18.4653</v>
      </c>
      <c r="E41" s="106">
        <f t="shared" si="3"/>
        <v>-18.4653</v>
      </c>
      <c r="F41" s="106">
        <f t="shared" si="3"/>
        <v>0</v>
      </c>
      <c r="G41" s="106">
        <f t="shared" si="3"/>
        <v>0</v>
      </c>
      <c r="H41" s="106">
        <f aca="true" t="shared" si="4" ref="H41:N41">IF(H$33+H$34=0,0,macf($T$28,$AA11+(AD$1-1)*12))</f>
        <v>0.8532423208191126</v>
      </c>
      <c r="I41" s="106">
        <f t="shared" si="4"/>
        <v>2.4725400000000004</v>
      </c>
      <c r="J41" s="106">
        <f t="shared" si="4"/>
        <v>-2.4725400000000004</v>
      </c>
      <c r="K41" s="106">
        <f t="shared" si="4"/>
        <v>0</v>
      </c>
      <c r="L41" s="106">
        <f t="shared" si="4"/>
        <v>0</v>
      </c>
      <c r="M41" s="106">
        <f t="shared" si="4"/>
        <v>0</v>
      </c>
      <c r="N41" s="106">
        <f t="shared" si="4"/>
        <v>0</v>
      </c>
      <c r="O41" s="33" t="s">
        <v>7</v>
      </c>
      <c r="S41" s="1"/>
    </row>
    <row r="42" spans="1:15" ht="13.5">
      <c r="A42" s="32" t="s">
        <v>50</v>
      </c>
      <c r="B42" s="3" t="s">
        <v>60</v>
      </c>
      <c r="C42" s="106">
        <f t="shared" si="3"/>
        <v>3.28874</v>
      </c>
      <c r="D42" s="106">
        <f t="shared" si="3"/>
        <v>0</v>
      </c>
      <c r="E42" s="106">
        <f t="shared" si="3"/>
        <v>0</v>
      </c>
      <c r="F42" s="106">
        <f t="shared" si="3"/>
        <v>66.0954</v>
      </c>
      <c r="G42" s="106">
        <f t="shared" si="3"/>
        <v>-16.016000000000002</v>
      </c>
      <c r="H42" s="106">
        <f aca="true" t="shared" si="5" ref="H42:N42">macf($T$28,$AA12+(AD$1-1)*12)</f>
        <v>2.4256200000000003</v>
      </c>
      <c r="I42" s="106">
        <f t="shared" si="5"/>
        <v>1.7583700000000002</v>
      </c>
      <c r="J42" s="106">
        <f t="shared" si="5"/>
        <v>1.7583700000000002</v>
      </c>
      <c r="K42" s="106">
        <f t="shared" si="5"/>
        <v>-16.016000000000002</v>
      </c>
      <c r="L42" s="106">
        <f t="shared" si="5"/>
        <v>0</v>
      </c>
      <c r="M42" s="106">
        <f t="shared" si="5"/>
        <v>0</v>
      </c>
      <c r="N42" s="106">
        <f t="shared" si="5"/>
        <v>0</v>
      </c>
      <c r="O42" s="33" t="s">
        <v>7</v>
      </c>
    </row>
    <row r="43" spans="1:15" ht="13.5">
      <c r="A43" s="32" t="s">
        <v>51</v>
      </c>
      <c r="B43" s="3" t="s">
        <v>61</v>
      </c>
      <c r="C43" s="106">
        <f t="shared" si="3"/>
        <v>0</v>
      </c>
      <c r="D43" s="106">
        <f t="shared" si="3"/>
        <v>27.8824</v>
      </c>
      <c r="E43" s="106">
        <f t="shared" si="3"/>
        <v>-27.8824</v>
      </c>
      <c r="F43" s="106">
        <f t="shared" si="3"/>
        <v>0</v>
      </c>
      <c r="G43" s="106">
        <f t="shared" si="3"/>
        <v>0</v>
      </c>
      <c r="H43" s="106">
        <f aca="true" t="shared" si="6" ref="H43:N43">IF(H$33+H$34=0,0,macf($T$28,$AA13+(AD$1-1)*12))</f>
        <v>3.3930900000000004</v>
      </c>
      <c r="I43" s="106">
        <f t="shared" si="6"/>
        <v>6.356160000000001</v>
      </c>
      <c r="J43" s="106">
        <f t="shared" si="6"/>
        <v>-6.356160000000001</v>
      </c>
      <c r="K43" s="106">
        <f t="shared" si="6"/>
        <v>0</v>
      </c>
      <c r="L43" s="106">
        <f t="shared" si="6"/>
        <v>0</v>
      </c>
      <c r="M43" s="106">
        <f t="shared" si="6"/>
        <v>0</v>
      </c>
      <c r="N43" s="106">
        <f t="shared" si="6"/>
        <v>0</v>
      </c>
      <c r="O43" s="33" t="s">
        <v>7</v>
      </c>
    </row>
    <row r="44" spans="1:15" ht="13.5">
      <c r="A44" s="32" t="s">
        <v>52</v>
      </c>
      <c r="B44" s="3" t="s">
        <v>62</v>
      </c>
      <c r="C44" s="107">
        <f t="shared" si="3"/>
        <v>3.7498700000000005</v>
      </c>
      <c r="D44" s="107">
        <f t="shared" si="3"/>
        <v>0</v>
      </c>
      <c r="E44" s="107">
        <f t="shared" si="3"/>
        <v>0</v>
      </c>
      <c r="F44" s="107">
        <f t="shared" si="3"/>
        <v>66.0954</v>
      </c>
      <c r="G44" s="107">
        <f t="shared" si="3"/>
        <v>-17.7014</v>
      </c>
      <c r="H44" s="107">
        <f aca="true" t="shared" si="7" ref="H44:N44">macf($T$28,$AA14+(AD$1-1)*12)</f>
        <v>2.9547200000000005</v>
      </c>
      <c r="I44" s="107">
        <f t="shared" si="7"/>
        <v>2.2793400000000004</v>
      </c>
      <c r="J44" s="107">
        <f t="shared" si="7"/>
        <v>2.2793400000000004</v>
      </c>
      <c r="K44" s="107">
        <f t="shared" si="7"/>
        <v>-17.7014</v>
      </c>
      <c r="L44" s="107">
        <f t="shared" si="7"/>
        <v>0</v>
      </c>
      <c r="M44" s="107">
        <f t="shared" si="7"/>
        <v>0</v>
      </c>
      <c r="N44" s="107">
        <f t="shared" si="7"/>
        <v>0</v>
      </c>
      <c r="O44" s="33" t="s">
        <v>7</v>
      </c>
    </row>
    <row r="45" spans="15:21" ht="12">
      <c r="O45" s="1"/>
      <c r="T45" s="36" t="str">
        <f>fDALLREC(B48:N48,B49:N49,tabd,tabchrep,tabart,13)</f>
        <v>330140000000000000001104907773000000000031058271013104431195130241803000000000000000000000330266095400000000003302660954330140000031013000001101738094000000000011011357093101684374130222349900000000000000000000330251882700000000003302526139330140000031011500001101223626000000000013011075543101224725130174580000000000000000000000330239516400000000003302405468330140000033011000001101122059000000000013011114653101122740330134810700000000000000000000330228557200000000003302297164330140000033011333331301116659000000000011011063533301119693330210971700000000000000000000330218891200000000003302199928330140000033011666661301143071000000000011011595053301152816330215501000000000000000000000330210478300000000003302113350330140000033012000001301157620000000000011014200243301175122330217538900000000000000000000330132887400000000003301374987330140000033012333331301158694000000000031015762423301182544330217528400000000000000000000130127108300000000001301273623330140000033012666661301146277000000000031011769633301173163330215879500000000000000000000130175560700000000001301809200330140000033013000001301121622000000000031011107573301147267330212968200000000000000000000130211281900000000001302122880330140000033013333331101114985000000000033011161583301107156330191392400000000000000000000130213919300000000001302153000330140000033013666661101220943000000000033011323623101176162330147119100000000000000000000130215492200000000001302171090330140000033014000003104121243000000000033011378593102809739</v>
      </c>
      <c r="U45" s="37" t="str">
        <f>fDALLREC(B55:N55,B56:N56,tabd,tabchrep,tabart,13)</f>
        <v>000000000033012000000000000000110111186800000000000000000000000000000011011068763302184653000000000033022788240000000000310115000033012000001101176348110112980511022093643301465665330160439313011177303302118845110115081533022028171301118028330113333333012000001301100269110118665311019263103301484342330210916813011330643301446890310120586133021060303101157506330120000033012000001301129068110129692311016073023301375244330214232813011065283301247254330117583733016356163301227934330126666633012000001301146203110153964611014851793301271057330216216511011400843101231330330126314733012595343301317566330133333333012000001301154896110212149011014336983301184914330217230511012986363101284051330132035833011298903301376460330140000033012000001301157620000000000011014200243301175122330217538900000000000000000000330132887400000000003301374987330146666633012000001301154896310212149011014336983301184914330217230531012986361101284051330132035813011298903301376460330153333333012000001301146203310153964611014851793301271057330216216531011400841101231330330126314713012595343301317566330160000033012000001301129068310129692311016073023301375244330214232833011065281301247254330117583713016356163301227934330166666633012000001301100269310118665311019263103301484342330210916833011330641301446890310120586113021060303101157506330173333333012000001101176348310112980511022093643301465665330160439333011177301302118845110115081513022028171301118028330180000033012000000000000000310111186800000000000000000000</v>
      </c>
    </row>
    <row r="46" ht="12">
      <c r="A46" s="11" t="s">
        <v>84</v>
      </c>
    </row>
    <row r="47" spans="1:14" ht="12">
      <c r="A47" s="1"/>
      <c r="B47" s="65">
        <v>0</v>
      </c>
      <c r="C47" s="65">
        <v>1</v>
      </c>
      <c r="D47" s="65">
        <v>2</v>
      </c>
      <c r="E47" s="65">
        <v>3</v>
      </c>
      <c r="F47" s="65">
        <v>4</v>
      </c>
      <c r="G47" s="65">
        <v>5</v>
      </c>
      <c r="H47" s="65">
        <v>6</v>
      </c>
      <c r="I47" s="65">
        <v>7</v>
      </c>
      <c r="J47" s="65">
        <v>8</v>
      </c>
      <c r="K47" s="65">
        <v>9</v>
      </c>
      <c r="L47" s="65">
        <v>10</v>
      </c>
      <c r="M47" s="65">
        <v>11</v>
      </c>
      <c r="N47" s="65">
        <v>12</v>
      </c>
    </row>
    <row r="48" spans="1:14" ht="12">
      <c r="A48" s="3" t="s">
        <v>31</v>
      </c>
      <c r="B48" s="105">
        <f aca="true" t="shared" si="8" ref="B48:N48">a/2</f>
        <v>4</v>
      </c>
      <c r="C48" s="105">
        <f t="shared" si="8"/>
        <v>4</v>
      </c>
      <c r="D48" s="105">
        <f t="shared" si="8"/>
        <v>4</v>
      </c>
      <c r="E48" s="105">
        <f t="shared" si="8"/>
        <v>4</v>
      </c>
      <c r="F48" s="105">
        <f t="shared" si="8"/>
        <v>4</v>
      </c>
      <c r="G48" s="105">
        <f t="shared" si="8"/>
        <v>4</v>
      </c>
      <c r="H48" s="105">
        <f t="shared" si="8"/>
        <v>4</v>
      </c>
      <c r="I48" s="105">
        <f t="shared" si="8"/>
        <v>4</v>
      </c>
      <c r="J48" s="105">
        <f t="shared" si="8"/>
        <v>4</v>
      </c>
      <c r="K48" s="105">
        <f t="shared" si="8"/>
        <v>4</v>
      </c>
      <c r="L48" s="105">
        <f t="shared" si="8"/>
        <v>4</v>
      </c>
      <c r="M48" s="105">
        <f t="shared" si="8"/>
        <v>4</v>
      </c>
      <c r="N48" s="105">
        <f t="shared" si="8"/>
        <v>4</v>
      </c>
    </row>
    <row r="49" spans="1:14" ht="12">
      <c r="A49" s="3" t="s">
        <v>32</v>
      </c>
      <c r="B49" s="106">
        <f aca="true" t="shared" si="9" ref="B49:N49">B47/12*b</f>
        <v>0</v>
      </c>
      <c r="C49" s="106">
        <f t="shared" si="9"/>
        <v>0.3333333333333333</v>
      </c>
      <c r="D49" s="106">
        <f t="shared" si="9"/>
        <v>0.6666666666666666</v>
      </c>
      <c r="E49" s="106">
        <f t="shared" si="9"/>
        <v>1</v>
      </c>
      <c r="F49" s="106">
        <f t="shared" si="9"/>
        <v>1.3333333333333333</v>
      </c>
      <c r="G49" s="106">
        <f t="shared" si="9"/>
        <v>1.6666666666666667</v>
      </c>
      <c r="H49" s="106">
        <f t="shared" si="9"/>
        <v>2</v>
      </c>
      <c r="I49" s="106">
        <f t="shared" si="9"/>
        <v>2.3333333333333335</v>
      </c>
      <c r="J49" s="106">
        <f t="shared" si="9"/>
        <v>2.6666666666666665</v>
      </c>
      <c r="K49" s="106">
        <f t="shared" si="9"/>
        <v>3</v>
      </c>
      <c r="L49" s="106">
        <f t="shared" si="9"/>
        <v>3.3333333333333335</v>
      </c>
      <c r="M49" s="106">
        <f t="shared" si="9"/>
        <v>3.6666666666666665</v>
      </c>
      <c r="N49" s="106">
        <f t="shared" si="9"/>
        <v>4</v>
      </c>
    </row>
    <row r="50" spans="1:14" ht="13.5">
      <c r="A50" s="3" t="s">
        <v>58</v>
      </c>
      <c r="B50" s="106">
        <f aca="true" t="shared" si="10" ref="B50:N50">macf($T$45,6+B$47*12)</f>
        <v>0.00023191363536219112</v>
      </c>
      <c r="C50" s="106">
        <f t="shared" si="10"/>
        <v>0.1461189349683068</v>
      </c>
      <c r="D50" s="106">
        <f t="shared" si="10"/>
        <v>0.4449883190566247</v>
      </c>
      <c r="E50" s="106">
        <f t="shared" si="10"/>
        <v>0.814730324262669</v>
      </c>
      <c r="F50" s="106">
        <f t="shared" si="10"/>
        <v>1.19693</v>
      </c>
      <c r="G50" s="106">
        <f t="shared" si="10"/>
        <v>1.5281600000000002</v>
      </c>
      <c r="H50" s="106">
        <f t="shared" si="10"/>
        <v>1.7512200000000002</v>
      </c>
      <c r="I50" s="106">
        <f t="shared" si="10"/>
        <v>1.8254400000000002</v>
      </c>
      <c r="J50" s="106">
        <f t="shared" si="10"/>
        <v>1.7316300000000002</v>
      </c>
      <c r="K50" s="106">
        <f t="shared" si="10"/>
        <v>1.4726700000000001</v>
      </c>
      <c r="L50" s="106">
        <f t="shared" si="10"/>
        <v>1.07156</v>
      </c>
      <c r="M50" s="106">
        <f t="shared" si="10"/>
        <v>0.5676593135863579</v>
      </c>
      <c r="N50" s="106">
        <f t="shared" si="10"/>
        <v>0.012349658346701839</v>
      </c>
    </row>
    <row r="51" spans="1:15" ht="13.5">
      <c r="A51" s="3" t="s">
        <v>83</v>
      </c>
      <c r="B51" s="107">
        <f aca="true" t="shared" si="11" ref="B51:N51">macf($T$45,7+B$47*12)</f>
        <v>-41.803000000000004</v>
      </c>
      <c r="C51" s="107">
        <f t="shared" si="11"/>
        <v>-22.3499</v>
      </c>
      <c r="D51" s="107">
        <f t="shared" si="11"/>
        <v>-7.458</v>
      </c>
      <c r="E51" s="107">
        <f t="shared" si="11"/>
        <v>3.4810700000000003</v>
      </c>
      <c r="F51" s="107">
        <f t="shared" si="11"/>
        <v>10.9717</v>
      </c>
      <c r="G51" s="107">
        <f t="shared" si="11"/>
        <v>15.501000000000001</v>
      </c>
      <c r="H51" s="107">
        <f t="shared" si="11"/>
        <v>17.5389</v>
      </c>
      <c r="I51" s="107">
        <f t="shared" si="11"/>
        <v>17.5284</v>
      </c>
      <c r="J51" s="107">
        <f t="shared" si="11"/>
        <v>15.8795</v>
      </c>
      <c r="K51" s="107">
        <f t="shared" si="11"/>
        <v>12.968200000000001</v>
      </c>
      <c r="L51" s="107">
        <f t="shared" si="11"/>
        <v>9.139240000000001</v>
      </c>
      <c r="M51" s="108">
        <f t="shared" si="11"/>
        <v>4.7119100000000005</v>
      </c>
      <c r="N51" s="107">
        <f t="shared" si="11"/>
        <v>0</v>
      </c>
      <c r="O51" s="1"/>
    </row>
    <row r="52" ht="12"/>
    <row r="53" ht="12">
      <c r="A53" s="11" t="s">
        <v>103</v>
      </c>
    </row>
    <row r="54" spans="2:14" ht="12">
      <c r="B54" s="65">
        <f aca="true" t="shared" si="12" ref="B54:N54">B47</f>
        <v>0</v>
      </c>
      <c r="C54" s="65">
        <f t="shared" si="12"/>
        <v>1</v>
      </c>
      <c r="D54" s="65">
        <f t="shared" si="12"/>
        <v>2</v>
      </c>
      <c r="E54" s="65">
        <f t="shared" si="12"/>
        <v>3</v>
      </c>
      <c r="F54" s="65">
        <f t="shared" si="12"/>
        <v>4</v>
      </c>
      <c r="G54" s="65">
        <f t="shared" si="12"/>
        <v>5</v>
      </c>
      <c r="H54" s="65">
        <f t="shared" si="12"/>
        <v>6</v>
      </c>
      <c r="I54" s="65">
        <f t="shared" si="12"/>
        <v>7</v>
      </c>
      <c r="J54" s="65">
        <f t="shared" si="12"/>
        <v>8</v>
      </c>
      <c r="K54" s="65">
        <f t="shared" si="12"/>
        <v>9</v>
      </c>
      <c r="L54" s="65">
        <f t="shared" si="12"/>
        <v>10</v>
      </c>
      <c r="M54" s="65">
        <f t="shared" si="12"/>
        <v>11</v>
      </c>
      <c r="N54" s="65">
        <f t="shared" si="12"/>
        <v>12</v>
      </c>
    </row>
    <row r="55" spans="1:14" ht="12">
      <c r="A55" s="3" t="s">
        <v>31</v>
      </c>
      <c r="B55" s="105">
        <f aca="true" t="shared" si="13" ref="B55:N55">B54/12*a</f>
        <v>0</v>
      </c>
      <c r="C55" s="105">
        <f t="shared" si="13"/>
        <v>0.6666666666666666</v>
      </c>
      <c r="D55" s="105">
        <f t="shared" si="13"/>
        <v>1.3333333333333333</v>
      </c>
      <c r="E55" s="105">
        <f t="shared" si="13"/>
        <v>2</v>
      </c>
      <c r="F55" s="105">
        <f t="shared" si="13"/>
        <v>2.6666666666666665</v>
      </c>
      <c r="G55" s="105">
        <f t="shared" si="13"/>
        <v>3.3333333333333335</v>
      </c>
      <c r="H55" s="105">
        <f t="shared" si="13"/>
        <v>4</v>
      </c>
      <c r="I55" s="105">
        <f t="shared" si="13"/>
        <v>4.666666666666667</v>
      </c>
      <c r="J55" s="105">
        <f t="shared" si="13"/>
        <v>5.333333333333333</v>
      </c>
      <c r="K55" s="105">
        <f t="shared" si="13"/>
        <v>6</v>
      </c>
      <c r="L55" s="105">
        <f t="shared" si="13"/>
        <v>6.666666666666667</v>
      </c>
      <c r="M55" s="105">
        <f t="shared" si="13"/>
        <v>7.333333333333333</v>
      </c>
      <c r="N55" s="105">
        <f t="shared" si="13"/>
        <v>8</v>
      </c>
    </row>
    <row r="56" spans="1:14" ht="12">
      <c r="A56" s="3" t="s">
        <v>32</v>
      </c>
      <c r="B56" s="106">
        <f aca="true" t="shared" si="14" ref="B56:N56">b/2</f>
        <v>2</v>
      </c>
      <c r="C56" s="106">
        <f t="shared" si="14"/>
        <v>2</v>
      </c>
      <c r="D56" s="106">
        <f t="shared" si="14"/>
        <v>2</v>
      </c>
      <c r="E56" s="106">
        <f t="shared" si="14"/>
        <v>2</v>
      </c>
      <c r="F56" s="106">
        <f t="shared" si="14"/>
        <v>2</v>
      </c>
      <c r="G56" s="106">
        <f t="shared" si="14"/>
        <v>2</v>
      </c>
      <c r="H56" s="106">
        <f t="shared" si="14"/>
        <v>2</v>
      </c>
      <c r="I56" s="106">
        <f t="shared" si="14"/>
        <v>2</v>
      </c>
      <c r="J56" s="106">
        <f t="shared" si="14"/>
        <v>2</v>
      </c>
      <c r="K56" s="106">
        <f t="shared" si="14"/>
        <v>2</v>
      </c>
      <c r="L56" s="106">
        <f t="shared" si="14"/>
        <v>2</v>
      </c>
      <c r="M56" s="106">
        <f t="shared" si="14"/>
        <v>2</v>
      </c>
      <c r="N56" s="106">
        <f t="shared" si="14"/>
        <v>2</v>
      </c>
    </row>
    <row r="57" spans="1:14" ht="13.5">
      <c r="A57" s="3" t="s">
        <v>58</v>
      </c>
      <c r="B57" s="106">
        <f aca="true" t="shared" si="15" ref="B57:N57">macf($U$45,6+B$54*12)</f>
        <v>0</v>
      </c>
      <c r="C57" s="106">
        <f t="shared" si="15"/>
        <v>4.65665</v>
      </c>
      <c r="D57" s="106">
        <f t="shared" si="15"/>
        <v>4.84342</v>
      </c>
      <c r="E57" s="106">
        <f t="shared" si="15"/>
        <v>3.7524400000000004</v>
      </c>
      <c r="F57" s="106">
        <f t="shared" si="15"/>
        <v>2.71057</v>
      </c>
      <c r="G57" s="106">
        <f t="shared" si="15"/>
        <v>1.8491400000000002</v>
      </c>
      <c r="H57" s="106">
        <f t="shared" si="15"/>
        <v>1.7512200000000002</v>
      </c>
      <c r="I57" s="106">
        <f t="shared" si="15"/>
        <v>1.8491400000000002</v>
      </c>
      <c r="J57" s="106">
        <f t="shared" si="15"/>
        <v>2.71057</v>
      </c>
      <c r="K57" s="106">
        <f t="shared" si="15"/>
        <v>3.7524400000000004</v>
      </c>
      <c r="L57" s="106">
        <f t="shared" si="15"/>
        <v>4.84342</v>
      </c>
      <c r="M57" s="106">
        <f t="shared" si="15"/>
        <v>4.65665</v>
      </c>
      <c r="N57" s="106">
        <f t="shared" si="15"/>
        <v>0</v>
      </c>
    </row>
    <row r="58" spans="1:21" ht="13.5">
      <c r="A58" s="3" t="s">
        <v>83</v>
      </c>
      <c r="B58" s="107">
        <f aca="true" t="shared" si="16" ref="B58:N58">macf($T$45,7+B$47*12)</f>
        <v>-41.803000000000004</v>
      </c>
      <c r="C58" s="107">
        <f t="shared" si="16"/>
        <v>-22.3499</v>
      </c>
      <c r="D58" s="107">
        <f t="shared" si="16"/>
        <v>-7.458</v>
      </c>
      <c r="E58" s="107">
        <f t="shared" si="16"/>
        <v>3.4810700000000003</v>
      </c>
      <c r="F58" s="107">
        <f t="shared" si="16"/>
        <v>10.9717</v>
      </c>
      <c r="G58" s="107">
        <f t="shared" si="16"/>
        <v>15.501000000000001</v>
      </c>
      <c r="H58" s="107">
        <f t="shared" si="16"/>
        <v>17.5389</v>
      </c>
      <c r="I58" s="107">
        <f t="shared" si="16"/>
        <v>17.5284</v>
      </c>
      <c r="J58" s="107">
        <f t="shared" si="16"/>
        <v>15.8795</v>
      </c>
      <c r="K58" s="107">
        <f t="shared" si="16"/>
        <v>12.968200000000001</v>
      </c>
      <c r="L58" s="107">
        <f t="shared" si="16"/>
        <v>9.139240000000001</v>
      </c>
      <c r="M58" s="107">
        <f t="shared" si="16"/>
        <v>4.7119100000000005</v>
      </c>
      <c r="N58" s="107">
        <f t="shared" si="16"/>
        <v>0</v>
      </c>
      <c r="U58" s="3" t="s">
        <v>74</v>
      </c>
    </row>
    <row r="59" spans="21:37" ht="12">
      <c r="U59" s="89"/>
      <c r="V59" s="90">
        <f aca="true" t="shared" si="17" ref="V59:AH59">B49</f>
        <v>0</v>
      </c>
      <c r="W59" s="90">
        <f t="shared" si="17"/>
        <v>0.3333333333333333</v>
      </c>
      <c r="X59" s="90">
        <f t="shared" si="17"/>
        <v>0.6666666666666666</v>
      </c>
      <c r="Y59" s="90">
        <f t="shared" si="17"/>
        <v>1</v>
      </c>
      <c r="Z59" s="90">
        <f t="shared" si="17"/>
        <v>1.3333333333333333</v>
      </c>
      <c r="AA59" s="90">
        <f t="shared" si="17"/>
        <v>1.6666666666666667</v>
      </c>
      <c r="AB59" s="90">
        <f t="shared" si="17"/>
        <v>2</v>
      </c>
      <c r="AC59" s="90">
        <f t="shared" si="17"/>
        <v>2.3333333333333335</v>
      </c>
      <c r="AD59" s="90">
        <f t="shared" si="17"/>
        <v>2.6666666666666665</v>
      </c>
      <c r="AE59" s="90">
        <f t="shared" si="17"/>
        <v>3</v>
      </c>
      <c r="AF59" s="90">
        <f t="shared" si="17"/>
        <v>3.3333333333333335</v>
      </c>
      <c r="AG59" s="90">
        <f t="shared" si="17"/>
        <v>3.6666666666666665</v>
      </c>
      <c r="AH59" s="90">
        <f t="shared" si="17"/>
        <v>4</v>
      </c>
      <c r="AI59" s="91"/>
      <c r="AJ59" s="91">
        <v>0</v>
      </c>
      <c r="AK59" s="92">
        <f>AH59</f>
        <v>4</v>
      </c>
    </row>
    <row r="60" spans="21:37" ht="12">
      <c r="U60" s="97" t="s">
        <v>43</v>
      </c>
      <c r="V60" s="98">
        <f aca="true" t="shared" si="18" ref="V60:AH60">B51</f>
        <v>-41.803000000000004</v>
      </c>
      <c r="W60" s="98">
        <f t="shared" si="18"/>
        <v>-22.3499</v>
      </c>
      <c r="X60" s="98">
        <f t="shared" si="18"/>
        <v>-7.458</v>
      </c>
      <c r="Y60" s="98">
        <f t="shared" si="18"/>
        <v>3.4810700000000003</v>
      </c>
      <c r="Z60" s="98">
        <f t="shared" si="18"/>
        <v>10.9717</v>
      </c>
      <c r="AA60" s="98">
        <f t="shared" si="18"/>
        <v>15.501000000000001</v>
      </c>
      <c r="AB60" s="98">
        <f t="shared" si="18"/>
        <v>17.5389</v>
      </c>
      <c r="AC60" s="98">
        <f t="shared" si="18"/>
        <v>17.5284</v>
      </c>
      <c r="AD60" s="98">
        <f t="shared" si="18"/>
        <v>15.8795</v>
      </c>
      <c r="AE60" s="98">
        <f t="shared" si="18"/>
        <v>12.968200000000001</v>
      </c>
      <c r="AF60" s="98">
        <f t="shared" si="18"/>
        <v>9.139240000000001</v>
      </c>
      <c r="AG60" s="98">
        <f t="shared" si="18"/>
        <v>4.7119100000000005</v>
      </c>
      <c r="AH60" s="98">
        <f t="shared" si="18"/>
        <v>0</v>
      </c>
      <c r="AI60" s="74"/>
      <c r="AJ60" s="74"/>
      <c r="AK60" s="93"/>
    </row>
    <row r="61" spans="21:37" ht="12">
      <c r="U61" s="94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>
        <v>0</v>
      </c>
      <c r="AK61" s="96">
        <v>0</v>
      </c>
    </row>
    <row r="62" ht="12"/>
    <row r="63" spans="21:37" ht="12">
      <c r="U63" s="89"/>
      <c r="V63" s="90">
        <f aca="true" t="shared" si="19" ref="V63:AH63">B55</f>
        <v>0</v>
      </c>
      <c r="W63" s="90">
        <f t="shared" si="19"/>
        <v>0.6666666666666666</v>
      </c>
      <c r="X63" s="90">
        <f t="shared" si="19"/>
        <v>1.3333333333333333</v>
      </c>
      <c r="Y63" s="90">
        <f t="shared" si="19"/>
        <v>2</v>
      </c>
      <c r="Z63" s="90">
        <f t="shared" si="19"/>
        <v>2.6666666666666665</v>
      </c>
      <c r="AA63" s="90">
        <f t="shared" si="19"/>
        <v>3.3333333333333335</v>
      </c>
      <c r="AB63" s="90">
        <f t="shared" si="19"/>
        <v>4</v>
      </c>
      <c r="AC63" s="90">
        <f t="shared" si="19"/>
        <v>4.666666666666667</v>
      </c>
      <c r="AD63" s="90">
        <f t="shared" si="19"/>
        <v>5.333333333333333</v>
      </c>
      <c r="AE63" s="90">
        <f t="shared" si="19"/>
        <v>6</v>
      </c>
      <c r="AF63" s="90">
        <f t="shared" si="19"/>
        <v>6.666666666666667</v>
      </c>
      <c r="AG63" s="90">
        <f t="shared" si="19"/>
        <v>7.333333333333333</v>
      </c>
      <c r="AH63" s="90">
        <f t="shared" si="19"/>
        <v>8</v>
      </c>
      <c r="AI63" s="91"/>
      <c r="AJ63" s="99">
        <v>0</v>
      </c>
      <c r="AK63" s="100">
        <f>AH63</f>
        <v>8</v>
      </c>
    </row>
    <row r="64" spans="21:37" ht="12">
      <c r="U64" s="97" t="s">
        <v>64</v>
      </c>
      <c r="V64" s="98">
        <f aca="true" t="shared" si="20" ref="V64:AH64">B57</f>
        <v>0</v>
      </c>
      <c r="W64" s="98">
        <f t="shared" si="20"/>
        <v>4.65665</v>
      </c>
      <c r="X64" s="98">
        <f t="shared" si="20"/>
        <v>4.84342</v>
      </c>
      <c r="Y64" s="98">
        <f t="shared" si="20"/>
        <v>3.7524400000000004</v>
      </c>
      <c r="Z64" s="98">
        <f t="shared" si="20"/>
        <v>2.71057</v>
      </c>
      <c r="AA64" s="98">
        <f t="shared" si="20"/>
        <v>1.8491400000000002</v>
      </c>
      <c r="AB64" s="98">
        <f t="shared" si="20"/>
        <v>1.7512200000000002</v>
      </c>
      <c r="AC64" s="98">
        <f t="shared" si="20"/>
        <v>1.8491400000000002</v>
      </c>
      <c r="AD64" s="98">
        <f t="shared" si="20"/>
        <v>2.71057</v>
      </c>
      <c r="AE64" s="98">
        <f t="shared" si="20"/>
        <v>3.7524400000000004</v>
      </c>
      <c r="AF64" s="98">
        <f t="shared" si="20"/>
        <v>4.84342</v>
      </c>
      <c r="AG64" s="98">
        <f t="shared" si="20"/>
        <v>4.65665</v>
      </c>
      <c r="AH64" s="98">
        <f t="shared" si="20"/>
        <v>0</v>
      </c>
      <c r="AI64" s="74"/>
      <c r="AJ64" s="73"/>
      <c r="AK64" s="101"/>
    </row>
    <row r="65" spans="21:37" ht="12">
      <c r="U65" s="102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95"/>
      <c r="AJ65" s="103">
        <v>0</v>
      </c>
      <c r="AK65" s="104">
        <v>0</v>
      </c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spans="1:16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</sheetData>
  <sheetProtection password="DE57" sheet="1"/>
  <mergeCells count="2">
    <mergeCell ref="A20:D20"/>
    <mergeCell ref="B1:I1"/>
  </mergeCells>
  <conditionalFormatting sqref="I11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dcterms:created xsi:type="dcterms:W3CDTF">2022-10-07T14:02:43Z</dcterms:created>
  <dcterms:modified xsi:type="dcterms:W3CDTF">2022-11-08T13:11:54Z</dcterms:modified>
  <cp:category/>
  <cp:version/>
  <cp:contentType/>
  <cp:contentStatus/>
</cp:coreProperties>
</file>