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555" windowWidth="10395" windowHeight="9765" activeTab="0"/>
  </bookViews>
  <sheets>
    <sheet name="Feuil1" sheetId="1" r:id="rId1"/>
  </sheets>
  <definedNames>
    <definedName name="_xlnm.Print_Area" localSheetId="0">'Feuil1'!$A$1:$O$160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<sst xmlns="http://schemas.openxmlformats.org/spreadsheetml/2006/main" count="153" uniqueCount="87">
  <si>
    <t>a</t>
  </si>
  <si>
    <t>b</t>
  </si>
  <si>
    <t>x</t>
  </si>
  <si>
    <t>y</t>
  </si>
  <si>
    <t>c</t>
  </si>
  <si>
    <t>test</t>
  </si>
  <si>
    <t>points</t>
  </si>
  <si>
    <r>
      <t>2 - de la forme y = y</t>
    </r>
    <r>
      <rPr>
        <b/>
        <vertAlign val="subscript"/>
        <sz val="9"/>
        <rFont val="Arial"/>
        <family val="2"/>
      </rPr>
      <t>o</t>
    </r>
    <r>
      <rPr>
        <b/>
        <sz val="9"/>
        <rFont val="Arial"/>
        <family val="0"/>
      </rPr>
      <t xml:space="preserve"> / (1 + </t>
    </r>
    <r>
      <rPr>
        <b/>
        <sz val="9"/>
        <rFont val="Symbol"/>
        <family val="1"/>
      </rPr>
      <t xml:space="preserve">a </t>
    </r>
    <r>
      <rPr>
        <b/>
        <sz val="9"/>
        <rFont val="Arial"/>
        <family val="0"/>
      </rPr>
      <t>. x</t>
    </r>
    <r>
      <rPr>
        <b/>
        <vertAlign val="superscript"/>
        <sz val="9"/>
        <rFont val="Arial"/>
        <family val="2"/>
      </rPr>
      <t>c</t>
    </r>
    <r>
      <rPr>
        <b/>
        <sz val="9"/>
        <rFont val="Arial"/>
        <family val="0"/>
      </rPr>
      <t xml:space="preserve">) </t>
    </r>
  </si>
  <si>
    <r>
      <t xml:space="preserve">4 - de la forme y =  </t>
    </r>
    <r>
      <rPr>
        <b/>
        <sz val="9"/>
        <rFont val="Arial"/>
        <family val="0"/>
      </rPr>
      <t>a . e</t>
    </r>
    <r>
      <rPr>
        <b/>
        <vertAlign val="superscript"/>
        <sz val="9"/>
        <rFont val="Arial"/>
        <family val="2"/>
      </rPr>
      <t>bx</t>
    </r>
    <r>
      <rPr>
        <b/>
        <sz val="9"/>
        <rFont val="Arial"/>
        <family val="0"/>
      </rPr>
      <t xml:space="preserve">    </t>
    </r>
  </si>
  <si>
    <t xml:space="preserve">5 - de la forme y =  a . Log(x) + b    </t>
  </si>
  <si>
    <t xml:space="preserve">6 - hyperbole de la forme y =  a + b / (x + d)   </t>
  </si>
  <si>
    <t>A</t>
  </si>
  <si>
    <t>d</t>
  </si>
  <si>
    <r>
      <t>1 - parabole de la forme   y = a . x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+ b . x + c</t>
    </r>
  </si>
  <si>
    <r>
      <t>= y</t>
    </r>
    <r>
      <rPr>
        <vertAlign val="subscript"/>
        <sz val="9"/>
        <rFont val="Arial"/>
        <family val="2"/>
      </rPr>
      <t xml:space="preserve">o </t>
    </r>
    <r>
      <rPr>
        <sz val="9"/>
        <rFont val="Arial"/>
        <family val="0"/>
      </rPr>
      <t>/ y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- 1</t>
    </r>
  </si>
  <si>
    <r>
      <t>= LN[(y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/ 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- 1) / b] / LN(x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/ 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</si>
  <si>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= b / x</t>
    </r>
    <r>
      <rPr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c</t>
    </r>
  </si>
  <si>
    <t>courbe</t>
  </si>
  <si>
    <r>
      <t>= LN(y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/ 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 / LN(x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/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</t>
    </r>
  </si>
  <si>
    <r>
      <t xml:space="preserve">= </t>
    </r>
    <r>
      <rPr>
        <sz val="9"/>
        <rFont val="Symbol"/>
        <family val="1"/>
      </rPr>
      <t>a</t>
    </r>
    <r>
      <rPr>
        <vertAlign val="superscript"/>
        <sz val="9"/>
        <rFont val="Arial"/>
        <family val="2"/>
      </rPr>
      <t>b</t>
    </r>
  </si>
  <si>
    <r>
      <t>= LN(y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/ 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 / (x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</t>
    </r>
  </si>
  <si>
    <r>
      <t>=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/ exp(b .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</t>
    </r>
  </si>
  <si>
    <r>
      <t>= (y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/ LN(x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/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</t>
    </r>
  </si>
  <si>
    <r>
      <t>=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a . LN(x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</t>
    </r>
  </si>
  <si>
    <r>
      <t>=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A . 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 / (A - 1)</t>
    </r>
  </si>
  <si>
    <r>
      <t>=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. 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1/b</t>
    </r>
  </si>
  <si>
    <r>
      <t>=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b / (x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+ d)</t>
    </r>
  </si>
  <si>
    <r>
      <t>= 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 / [(1 / (x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+ d) - 1 / 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+ d)]</t>
    </r>
  </si>
  <si>
    <r>
      <t>=(y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 .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/ (y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) / (x</t>
    </r>
    <r>
      <rPr>
        <vertAlign val="subscript"/>
        <sz val="9"/>
        <rFont val="Arial"/>
        <family val="2"/>
      </rPr>
      <t xml:space="preserve">1 </t>
    </r>
    <r>
      <rPr>
        <sz val="9"/>
        <rFont val="Arial"/>
        <family val="0"/>
      </rPr>
      <t>-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</t>
    </r>
  </si>
  <si>
    <t xml:space="preserve"> </t>
  </si>
  <si>
    <r>
      <t>= [(y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. 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xo) -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. (y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)] / [(x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.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.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)]</t>
    </r>
  </si>
  <si>
    <r>
      <t>= (y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/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- 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) - a . (x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+ 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</t>
    </r>
  </si>
  <si>
    <r>
      <t>=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- a . xo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- b . Xo</t>
    </r>
  </si>
  <si>
    <t>N</t>
  </si>
  <si>
    <t>&lt;= 10</t>
  </si>
  <si>
    <t>macd</t>
  </si>
  <si>
    <t>macf</t>
  </si>
  <si>
    <t>coefficients</t>
  </si>
  <si>
    <t>abscisse</t>
  </si>
  <si>
    <t>ordonnée</t>
  </si>
  <si>
    <t>Test</t>
  </si>
  <si>
    <t>y calculé</t>
  </si>
  <si>
    <t>sortie en chaîne de caractères</t>
  </si>
  <si>
    <t>chaîne lue terme à terme avec la macro Macf(chaine;i)</t>
  </si>
  <si>
    <t>Macros</t>
  </si>
  <si>
    <t>Selni</t>
  </si>
  <si>
    <r>
      <t>a</t>
    </r>
    <r>
      <rPr>
        <vertAlign val="subscript"/>
        <sz val="9"/>
        <rFont val="Arial"/>
        <family val="0"/>
      </rPr>
      <t>o</t>
    </r>
  </si>
  <si>
    <r>
      <t>a</t>
    </r>
    <r>
      <rPr>
        <vertAlign val="subscript"/>
        <sz val="9"/>
        <rFont val="Arial"/>
        <family val="0"/>
      </rPr>
      <t>1</t>
    </r>
  </si>
  <si>
    <r>
      <t>a</t>
    </r>
    <r>
      <rPr>
        <vertAlign val="subscript"/>
        <sz val="9"/>
        <rFont val="Arial"/>
        <family val="0"/>
      </rPr>
      <t>2</t>
    </r>
  </si>
  <si>
    <r>
      <t>a</t>
    </r>
    <r>
      <rPr>
        <vertAlign val="subscript"/>
        <sz val="9"/>
        <rFont val="Arial"/>
        <family val="0"/>
      </rPr>
      <t>3</t>
    </r>
  </si>
  <si>
    <r>
      <t>a</t>
    </r>
    <r>
      <rPr>
        <vertAlign val="subscript"/>
        <sz val="9"/>
        <rFont val="Arial"/>
        <family val="0"/>
      </rPr>
      <t>4</t>
    </r>
  </si>
  <si>
    <r>
      <t>a</t>
    </r>
    <r>
      <rPr>
        <vertAlign val="subscript"/>
        <sz val="9"/>
        <rFont val="Arial"/>
        <family val="0"/>
      </rPr>
      <t>5</t>
    </r>
  </si>
  <si>
    <r>
      <t>a</t>
    </r>
    <r>
      <rPr>
        <vertAlign val="subscript"/>
        <sz val="9"/>
        <rFont val="Arial"/>
        <family val="0"/>
      </rPr>
      <t>6</t>
    </r>
  </si>
  <si>
    <r>
      <t>a</t>
    </r>
    <r>
      <rPr>
        <vertAlign val="subscript"/>
        <sz val="9"/>
        <rFont val="Arial"/>
        <family val="0"/>
      </rPr>
      <t>7</t>
    </r>
  </si>
  <si>
    <r>
      <t>a</t>
    </r>
    <r>
      <rPr>
        <vertAlign val="subscript"/>
        <sz val="9"/>
        <rFont val="Arial"/>
        <family val="0"/>
      </rPr>
      <t>8</t>
    </r>
  </si>
  <si>
    <r>
      <t>a</t>
    </r>
    <r>
      <rPr>
        <vertAlign val="subscript"/>
        <sz val="9"/>
        <rFont val="Arial"/>
        <family val="0"/>
      </rPr>
      <t>9</t>
    </r>
  </si>
  <si>
    <r>
      <t>y = a</t>
    </r>
    <r>
      <rPr>
        <vertAlign val="subscript"/>
        <sz val="9"/>
        <rFont val="Arial"/>
        <family val="0"/>
      </rPr>
      <t>o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1</t>
    </r>
    <r>
      <rPr>
        <sz val="9"/>
        <rFont val="Arial"/>
        <family val="0"/>
      </rPr>
      <t>.x + a</t>
    </r>
    <r>
      <rPr>
        <vertAlign val="subscript"/>
        <sz val="9"/>
        <rFont val="Arial"/>
        <family val="0"/>
      </rPr>
      <t>2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3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4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4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5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5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6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6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7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7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8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8</t>
    </r>
    <r>
      <rPr>
        <sz val="9"/>
        <rFont val="Arial"/>
        <family val="0"/>
      </rPr>
      <t xml:space="preserve"> + a</t>
    </r>
    <r>
      <rPr>
        <vertAlign val="subscript"/>
        <sz val="9"/>
        <rFont val="Arial"/>
        <family val="0"/>
      </rPr>
      <t>9</t>
    </r>
    <r>
      <rPr>
        <sz val="9"/>
        <rFont val="Arial"/>
        <family val="0"/>
      </rPr>
      <t>.x</t>
    </r>
    <r>
      <rPr>
        <vertAlign val="superscript"/>
        <sz val="9"/>
        <rFont val="Arial"/>
        <family val="0"/>
      </rPr>
      <t>9</t>
    </r>
    <r>
      <rPr>
        <sz val="9"/>
        <rFont val="Arial"/>
        <family val="0"/>
      </rPr>
      <t xml:space="preserve"> </t>
    </r>
  </si>
  <si>
    <t>7 - Equation d'une courbe en  polynôme de degré N</t>
  </si>
  <si>
    <t xml:space="preserve">courbe  de la forme y =  a . Log(x) + b    </t>
  </si>
  <si>
    <t xml:space="preserve">hyperbole de la forme y =  a + b / (x + d)  </t>
  </si>
  <si>
    <t>courbe en  polynôme de degré N</t>
  </si>
  <si>
    <r>
      <t>parabole de la forme   y = a . 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+ b . x + c</t>
    </r>
  </si>
  <si>
    <r>
      <t>courbe de la forme y = y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 xml:space="preserve"> / (1 + </t>
    </r>
    <r>
      <rPr>
        <sz val="9"/>
        <rFont val="Symbol"/>
        <family val="1"/>
      </rPr>
      <t>a</t>
    </r>
    <r>
      <rPr>
        <sz val="9"/>
        <rFont val="Arial"/>
        <family val="0"/>
      </rPr>
      <t xml:space="preserve"> . x</t>
    </r>
    <r>
      <rPr>
        <vertAlign val="superscript"/>
        <sz val="9"/>
        <rFont val="Arial"/>
        <family val="2"/>
      </rPr>
      <t>c</t>
    </r>
    <r>
      <rPr>
        <sz val="9"/>
        <rFont val="Arial"/>
        <family val="0"/>
      </rPr>
      <t xml:space="preserve">) </t>
    </r>
  </si>
  <si>
    <r>
      <t>3 - de la forme y =  (a / x)</t>
    </r>
    <r>
      <rPr>
        <b/>
        <vertAlign val="superscript"/>
        <sz val="9"/>
        <rFont val="Arial"/>
        <family val="2"/>
      </rPr>
      <t>b</t>
    </r>
    <r>
      <rPr>
        <b/>
        <sz val="9"/>
        <rFont val="Arial"/>
        <family val="0"/>
      </rPr>
      <t xml:space="preserve">    ou   y = b / x</t>
    </r>
    <r>
      <rPr>
        <b/>
        <vertAlign val="superscript"/>
        <sz val="9"/>
        <rFont val="Arial"/>
        <family val="2"/>
      </rPr>
      <t>b</t>
    </r>
  </si>
  <si>
    <r>
      <t>courbe de la forme y = y =  (a / x)</t>
    </r>
    <r>
      <rPr>
        <vertAlign val="superscript"/>
        <sz val="9"/>
        <rFont val="Arial"/>
        <family val="2"/>
      </rPr>
      <t>b</t>
    </r>
    <r>
      <rPr>
        <sz val="9"/>
        <rFont val="Arial"/>
        <family val="0"/>
      </rPr>
      <t xml:space="preserve">    ou   y = b / x</t>
    </r>
    <r>
      <rPr>
        <vertAlign val="superscript"/>
        <sz val="9"/>
        <rFont val="Arial"/>
        <family val="2"/>
      </rPr>
      <t>b</t>
    </r>
  </si>
  <si>
    <r>
      <t>courbe de la forme y =  a . e</t>
    </r>
    <r>
      <rPr>
        <vertAlign val="superscript"/>
        <sz val="9"/>
        <rFont val="Arial"/>
        <family val="2"/>
      </rPr>
      <t xml:space="preserve">bx </t>
    </r>
    <r>
      <rPr>
        <sz val="9"/>
        <rFont val="Arial"/>
        <family val="0"/>
      </rPr>
      <t xml:space="preserve">   </t>
    </r>
  </si>
  <si>
    <t>L'auteur n'est pas</t>
  </si>
  <si>
    <t>responsable</t>
  </si>
  <si>
    <t>de l'usage fait</t>
  </si>
  <si>
    <t>de ce programme</t>
  </si>
  <si>
    <t>H. Thonier</t>
  </si>
  <si>
    <t xml:space="preserve">La solution polynomiale a l'inconvénient </t>
  </si>
  <si>
    <t xml:space="preserve">de donner quelquefois des valeurs </t>
  </si>
  <si>
    <r>
      <t xml:space="preserve">interpolées éloignées de la courbe </t>
    </r>
    <r>
      <rPr>
        <sz val="9"/>
        <rFont val="Symbol"/>
        <family val="0"/>
      </rPr>
      <t>®</t>
    </r>
  </si>
  <si>
    <t>plus précis que le précédent</t>
  </si>
  <si>
    <t>distance d'un point à une droite</t>
  </si>
  <si>
    <t>8 - Interpolation par portions de paraboles définies par 3 points consécutifs contenant le point étudié</t>
  </si>
  <si>
    <t>interpolation par portions de paraboles définies par 3 points consécutifs contenant le point étudié</t>
  </si>
  <si>
    <r>
      <t>x</t>
    </r>
    <r>
      <rPr>
        <vertAlign val="subscript"/>
        <sz val="9"/>
        <rFont val="Arial"/>
        <family val="2"/>
      </rPr>
      <t>0</t>
    </r>
  </si>
  <si>
    <r>
      <t>x</t>
    </r>
    <r>
      <rPr>
        <vertAlign val="subscript"/>
        <sz val="9"/>
        <rFont val="Arial"/>
        <family val="2"/>
      </rPr>
      <t>1</t>
    </r>
  </si>
  <si>
    <t>u</t>
  </si>
  <si>
    <t>v</t>
  </si>
  <si>
    <t>w</t>
  </si>
  <si>
    <r>
      <t>9 - Distance d d'un point (x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,y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) à une droite y = a.x + b</t>
    </r>
  </si>
  <si>
    <r>
      <t>= abs(u.x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+v.y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+w)/(u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+v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</si>
  <si>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t xml:space="preserve">Ce document est protégé par le droit d’auteur © Henry Thonier - EGF </t>
  </si>
  <si>
    <t>229 - Equations de courbes passant par n points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</si>
</sst>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"/>
    <numFmt numFmtId="173" formatCode="0.0"/>
    <numFmt numFmtId="174" formatCode="d/m/yy;@"/>
    <numFmt numFmtId="175" formatCode="0.0000%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0.0000"/>
  </numFmts>
  <fonts count="16"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vertAlign val="superscript"/>
      <sz val="9"/>
      <name val="Arial"/>
      <family val="2"/>
    </font>
    <font>
      <sz val="9"/>
      <name val="Symbol"/>
      <family val="1"/>
    </font>
    <font>
      <b/>
      <vertAlign val="subscript"/>
      <sz val="9"/>
      <name val="Arial"/>
      <family val="2"/>
    </font>
    <font>
      <b/>
      <sz val="9"/>
      <name val="Symbol"/>
      <family val="1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.5"/>
      <name val="Helv"/>
      <family val="0"/>
    </font>
    <font>
      <sz val="9"/>
      <color indexed="12"/>
      <name val="Arial"/>
      <family val="0"/>
    </font>
    <font>
      <b/>
      <sz val="9"/>
      <name val="Geneva"/>
      <family val="0"/>
    </font>
    <font>
      <sz val="9"/>
      <name val="Arial Narrow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hair"/>
      <bottom style="thin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174" fontId="8" fillId="0" borderId="0" xfId="0" applyNumberFormat="1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1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176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 quotePrefix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0" fillId="3" borderId="20" xfId="0" applyNumberFormat="1" applyFill="1" applyBorder="1" applyAlignment="1" applyProtection="1">
      <alignment horizontal="center"/>
      <protection/>
    </xf>
    <xf numFmtId="15" fontId="14" fillId="0" borderId="0" xfId="0" applyNumberFormat="1" applyFont="1" applyAlignment="1" applyProtection="1" quotePrefix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176" fontId="0" fillId="2" borderId="31" xfId="17" applyNumberFormat="1" applyFill="1" applyBorder="1" applyAlignment="1" applyProtection="1">
      <alignment horizontal="center"/>
      <protection locked="0"/>
    </xf>
    <xf numFmtId="176" fontId="0" fillId="2" borderId="32" xfId="17" applyNumberFormat="1" applyFont="1" applyFill="1" applyBorder="1" applyAlignment="1" applyProtection="1">
      <alignment horizontal="center"/>
      <protection locked="0"/>
    </xf>
    <xf numFmtId="176" fontId="0" fillId="2" borderId="33" xfId="17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Feuil1!$H$32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Feuil1!$G$33:$G$42</c:f>
              <c:numCache/>
            </c:numRef>
          </c:xVal>
          <c:yVal>
            <c:numRef>
              <c:f>Feuil1!$H$33:$H$42</c:f>
              <c:numCache/>
            </c:numRef>
          </c:yVal>
          <c:smooth val="1"/>
        </c:ser>
        <c:ser>
          <c:idx val="1"/>
          <c:order val="1"/>
          <c:tx>
            <c:strRef>
              <c:f>Feuil1!$I$32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Feuil1!$G$33:$G$42</c:f>
              <c:numCache/>
            </c:numRef>
          </c:xVal>
          <c:yVal>
            <c:numRef>
              <c:f>Feuil1!$I$33:$I$42</c:f>
              <c:numCache/>
            </c:numRef>
          </c:yVal>
          <c:smooth val="1"/>
        </c:ser>
        <c:axId val="27794438"/>
        <c:axId val="48823351"/>
      </c:scatterChart>
      <c:valAx>
        <c:axId val="27794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crossBetween val="midCat"/>
        <c:dispUnits/>
      </c:valAx>
      <c:valAx>
        <c:axId val="4882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Feuil1!$H$64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Feuil1!$G$65:$G$73</c:f>
              <c:numCache/>
            </c:numRef>
          </c:xVal>
          <c:yVal>
            <c:numRef>
              <c:f>Feuil1!$H$65:$H$73</c:f>
              <c:numCache/>
            </c:numRef>
          </c:yVal>
          <c:smooth val="1"/>
        </c:ser>
        <c:ser>
          <c:idx val="1"/>
          <c:order val="1"/>
          <c:tx>
            <c:strRef>
              <c:f>Feuil1!$I$64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Feuil1!$G$65:$G$73</c:f>
              <c:numCache/>
            </c:numRef>
          </c:xVal>
          <c:yVal>
            <c:numRef>
              <c:f>Feuil1!$I$65:$I$73</c:f>
              <c:numCache/>
            </c:numRef>
          </c:yVal>
          <c:smooth val="1"/>
        </c:ser>
        <c:axId val="36756976"/>
        <c:axId val="62377329"/>
      </c:scatterChart>
      <c:valAx>
        <c:axId val="36756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77329"/>
        <c:crosses val="autoZero"/>
        <c:crossBetween val="midCat"/>
        <c:dispUnits/>
      </c:valAx>
      <c:valAx>
        <c:axId val="6237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6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Feuil1!$H$79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xVal>
            <c:numRef>
              <c:f>Feuil1!$G$80:$G$85</c:f>
              <c:numCache/>
            </c:numRef>
          </c:xVal>
          <c:yVal>
            <c:numRef>
              <c:f>Feuil1!$H$80:$H$85</c:f>
              <c:numCache/>
            </c:numRef>
          </c:yVal>
          <c:smooth val="1"/>
        </c:ser>
        <c:axId val="24525050"/>
        <c:axId val="19398859"/>
      </c:scatterChart>
      <c:valAx>
        <c:axId val="24525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98859"/>
        <c:crosses val="autoZero"/>
        <c:crossBetween val="midCat"/>
        <c:dispUnits/>
      </c:valAx>
      <c:valAx>
        <c:axId val="1939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Feuil1!$H$96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Feuil1!$G$97:$G$102</c:f>
              <c:numCache/>
            </c:numRef>
          </c:xVal>
          <c:yVal>
            <c:numRef>
              <c:f>Feuil1!$H$97:$H$102</c:f>
              <c:numCache/>
            </c:numRef>
          </c:yVal>
          <c:smooth val="1"/>
        </c:ser>
        <c:axId val="40372004"/>
        <c:axId val="27803717"/>
      </c:scatterChart>
      <c:valAx>
        <c:axId val="40372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crossBetween val="midCat"/>
        <c:dispUnits/>
      </c:valAx>
      <c:valAx>
        <c:axId val="27803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Feuil1!$K$17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Feuil1!$J$18:$J$22</c:f>
              <c:numCache/>
            </c:numRef>
          </c:xVal>
          <c:yVal>
            <c:numRef>
              <c:f>Feuil1!$K$18:$K$22</c:f>
              <c:numCache/>
            </c:numRef>
          </c:yVal>
          <c:smooth val="1"/>
        </c:ser>
        <c:axId val="48906862"/>
        <c:axId val="37508575"/>
      </c:scatterChart>
      <c:valAx>
        <c:axId val="48906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crossBetween val="midCat"/>
        <c:dispUnits/>
      </c:valAx>
      <c:valAx>
        <c:axId val="37508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Feuil1!$C$120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Feuil1!$B$121:$B$130</c:f>
              <c:numCache/>
            </c:numRef>
          </c:xVal>
          <c:yVal>
            <c:numRef>
              <c:f>Feuil1!$C$121:$C$130</c:f>
              <c:numCache/>
            </c:numRef>
          </c:yVal>
          <c:smooth val="1"/>
        </c:ser>
        <c:axId val="2032856"/>
        <c:axId val="18295705"/>
      </c:scatterChart>
      <c:valAx>
        <c:axId val="2032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crossBetween val="midCat"/>
        <c:dispUnits/>
      </c:valAx>
      <c:valAx>
        <c:axId val="1829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Feuil1!$H$48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Feuil1!$G$49:$G$57</c:f>
              <c:numCache/>
            </c:numRef>
          </c:xVal>
          <c:yVal>
            <c:numRef>
              <c:f>Feuil1!$H$49:$H$57</c:f>
              <c:numCache/>
            </c:numRef>
          </c:yVal>
          <c:smooth val="1"/>
        </c:ser>
        <c:ser>
          <c:idx val="1"/>
          <c:order val="1"/>
          <c:tx>
            <c:strRef>
              <c:f>Feuil1!$I$48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Feuil1!$G$49:$G$57</c:f>
              <c:numCache/>
            </c:numRef>
          </c:xVal>
          <c:yVal>
            <c:numRef>
              <c:f>Feuil1!$I$49:$I$57</c:f>
              <c:numCache/>
            </c:numRef>
          </c:yVal>
          <c:smooth val="1"/>
        </c:ser>
        <c:axId val="30443618"/>
        <c:axId val="5557107"/>
      </c:scatterChart>
      <c:valAx>
        <c:axId val="30443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7107"/>
        <c:crosses val="autoZero"/>
        <c:crossBetween val="midCat"/>
        <c:dispUnits/>
      </c:valAx>
      <c:valAx>
        <c:axId val="5557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3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57"/>
          <c:h val="0.9497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Feuil1!$AL$31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Feuil1!$AK$32:$AK$132</c:f>
              <c:numCache/>
            </c:numRef>
          </c:xVal>
          <c:yVal>
            <c:numRef>
              <c:f>Feuil1!$AL$32:$AL$132</c:f>
              <c:numCache/>
            </c:numRef>
          </c:yVal>
          <c:smooth val="0"/>
        </c:ser>
        <c:axId val="50013964"/>
        <c:axId val="47472493"/>
      </c:scatterChart>
      <c:valAx>
        <c:axId val="50013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crossBetween val="midCat"/>
        <c:dispUnits/>
      </c:valAx>
      <c:valAx>
        <c:axId val="4747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39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29</xdr:row>
      <xdr:rowOff>38100</xdr:rowOff>
    </xdr:from>
    <xdr:to>
      <xdr:col>10</xdr:col>
      <xdr:colOff>257175</xdr:colOff>
      <xdr:row>43</xdr:row>
      <xdr:rowOff>66675</xdr:rowOff>
    </xdr:to>
    <xdr:graphicFrame>
      <xdr:nvGraphicFramePr>
        <xdr:cNvPr id="1" name="Chart 3"/>
        <xdr:cNvGraphicFramePr/>
      </xdr:nvGraphicFramePr>
      <xdr:xfrm>
        <a:off x="3371850" y="4781550"/>
        <a:ext cx="23336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61</xdr:row>
      <xdr:rowOff>95250</xdr:rowOff>
    </xdr:from>
    <xdr:to>
      <xdr:col>10</xdr:col>
      <xdr:colOff>314325</xdr:colOff>
      <xdr:row>76</xdr:row>
      <xdr:rowOff>28575</xdr:rowOff>
    </xdr:to>
    <xdr:graphicFrame>
      <xdr:nvGraphicFramePr>
        <xdr:cNvPr id="2" name="Chart 5"/>
        <xdr:cNvGraphicFramePr/>
      </xdr:nvGraphicFramePr>
      <xdr:xfrm>
        <a:off x="3438525" y="10067925"/>
        <a:ext cx="23241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77</xdr:row>
      <xdr:rowOff>47625</xdr:rowOff>
    </xdr:from>
    <xdr:to>
      <xdr:col>9</xdr:col>
      <xdr:colOff>390525</xdr:colOff>
      <xdr:row>90</xdr:row>
      <xdr:rowOff>28575</xdr:rowOff>
    </xdr:to>
    <xdr:graphicFrame>
      <xdr:nvGraphicFramePr>
        <xdr:cNvPr id="3" name="Chart 6"/>
        <xdr:cNvGraphicFramePr/>
      </xdr:nvGraphicFramePr>
      <xdr:xfrm>
        <a:off x="3486150" y="12592050"/>
        <a:ext cx="189547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342900</xdr:colOff>
      <xdr:row>92</xdr:row>
      <xdr:rowOff>104775</xdr:rowOff>
    </xdr:from>
    <xdr:to>
      <xdr:col>10</xdr:col>
      <xdr:colOff>304800</xdr:colOff>
      <xdr:row>107</xdr:row>
      <xdr:rowOff>114300</xdr:rowOff>
    </xdr:to>
    <xdr:graphicFrame>
      <xdr:nvGraphicFramePr>
        <xdr:cNvPr id="4" name="Chart 7"/>
        <xdr:cNvGraphicFramePr/>
      </xdr:nvGraphicFramePr>
      <xdr:xfrm>
        <a:off x="3505200" y="15049500"/>
        <a:ext cx="22479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66675</xdr:colOff>
      <xdr:row>14</xdr:row>
      <xdr:rowOff>57150</xdr:rowOff>
    </xdr:from>
    <xdr:to>
      <xdr:col>13</xdr:col>
      <xdr:colOff>209550</xdr:colOff>
      <xdr:row>27</xdr:row>
      <xdr:rowOff>38100</xdr:rowOff>
    </xdr:to>
    <xdr:graphicFrame>
      <xdr:nvGraphicFramePr>
        <xdr:cNvPr id="5" name="Chart 19"/>
        <xdr:cNvGraphicFramePr/>
      </xdr:nvGraphicFramePr>
      <xdr:xfrm>
        <a:off x="4600575" y="2352675"/>
        <a:ext cx="24288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304800</xdr:colOff>
      <xdr:row>117</xdr:row>
      <xdr:rowOff>0</xdr:rowOff>
    </xdr:from>
    <xdr:to>
      <xdr:col>12</xdr:col>
      <xdr:colOff>323850</xdr:colOff>
      <xdr:row>129</xdr:row>
      <xdr:rowOff>114300</xdr:rowOff>
    </xdr:to>
    <xdr:graphicFrame>
      <xdr:nvGraphicFramePr>
        <xdr:cNvPr id="6" name="Chart 30"/>
        <xdr:cNvGraphicFramePr/>
      </xdr:nvGraphicFramePr>
      <xdr:xfrm>
        <a:off x="3467100" y="18945225"/>
        <a:ext cx="321945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28575</xdr:colOff>
      <xdr:row>44</xdr:row>
      <xdr:rowOff>104775</xdr:rowOff>
    </xdr:from>
    <xdr:to>
      <xdr:col>10</xdr:col>
      <xdr:colOff>76200</xdr:colOff>
      <xdr:row>58</xdr:row>
      <xdr:rowOff>85725</xdr:rowOff>
    </xdr:to>
    <xdr:graphicFrame>
      <xdr:nvGraphicFramePr>
        <xdr:cNvPr id="7" name="Chart 31"/>
        <xdr:cNvGraphicFramePr/>
      </xdr:nvGraphicFramePr>
      <xdr:xfrm>
        <a:off x="3190875" y="7324725"/>
        <a:ext cx="2333625" cy="2247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657225</xdr:colOff>
      <xdr:row>136</xdr:row>
      <xdr:rowOff>57150</xdr:rowOff>
    </xdr:from>
    <xdr:to>
      <xdr:col>13</xdr:col>
      <xdr:colOff>76200</xdr:colOff>
      <xdr:row>149</xdr:row>
      <xdr:rowOff>57150</xdr:rowOff>
    </xdr:to>
    <xdr:graphicFrame>
      <xdr:nvGraphicFramePr>
        <xdr:cNvPr id="8" name="Chart 32"/>
        <xdr:cNvGraphicFramePr/>
      </xdr:nvGraphicFramePr>
      <xdr:xfrm>
        <a:off x="2390775" y="22212300"/>
        <a:ext cx="450532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57"/>
  <sheetViews>
    <sheetView showGridLines="0" tabSelected="1" view="pageBreakPreview" zoomScaleSheetLayoutView="100" workbookViewId="0" topLeftCell="A19">
      <selection activeCell="C19" sqref="C19"/>
    </sheetView>
  </sheetViews>
  <sheetFormatPr defaultColWidth="11.421875" defaultRowHeight="12"/>
  <cols>
    <col min="1" max="1" width="7.8515625" style="22" customWidth="1"/>
    <col min="2" max="2" width="8.8515625" style="22" customWidth="1"/>
    <col min="3" max="3" width="9.28125" style="22" customWidth="1"/>
    <col min="4" max="4" width="10.140625" style="22" customWidth="1"/>
    <col min="5" max="5" width="11.28125" style="22" customWidth="1"/>
    <col min="6" max="17" width="6.8515625" style="22" customWidth="1"/>
    <col min="18" max="18" width="8.8515625" style="22" customWidth="1"/>
    <col min="19" max="19" width="9.57421875" style="22" customWidth="1"/>
    <col min="20" max="16384" width="6.8515625" style="22" customWidth="1"/>
  </cols>
  <sheetData>
    <row r="1" spans="1:9" ht="12.75" thickBot="1">
      <c r="A1"/>
      <c r="B1" s="80" t="s">
        <v>85</v>
      </c>
      <c r="C1" s="80"/>
      <c r="D1" s="80"/>
      <c r="E1" s="80"/>
      <c r="F1" s="80"/>
      <c r="G1" s="80"/>
      <c r="H1" s="80"/>
      <c r="I1" s="80"/>
    </row>
    <row r="3" spans="1:13" ht="12">
      <c r="A3" s="21" t="s">
        <v>86</v>
      </c>
      <c r="M3" s="19"/>
    </row>
    <row r="4" spans="1:12" ht="13.5">
      <c r="A4" s="21"/>
      <c r="L4" s="20" t="s">
        <v>66</v>
      </c>
    </row>
    <row r="5" spans="1:12" ht="14.25">
      <c r="A5" s="23">
        <v>1</v>
      </c>
      <c r="B5" s="24" t="s">
        <v>61</v>
      </c>
      <c r="L5" s="20" t="s">
        <v>67</v>
      </c>
    </row>
    <row r="6" spans="1:12" ht="14.25">
      <c r="A6" s="23">
        <v>2</v>
      </c>
      <c r="B6" s="24" t="s">
        <v>62</v>
      </c>
      <c r="L6" s="20" t="s">
        <v>68</v>
      </c>
    </row>
    <row r="7" spans="1:12" ht="14.25">
      <c r="A7" s="23">
        <v>3</v>
      </c>
      <c r="B7" s="24" t="s">
        <v>64</v>
      </c>
      <c r="L7" s="20" t="s">
        <v>69</v>
      </c>
    </row>
    <row r="8" spans="1:12" ht="14.25">
      <c r="A8" s="23">
        <v>4</v>
      </c>
      <c r="B8" s="24" t="s">
        <v>65</v>
      </c>
      <c r="L8" s="20" t="s">
        <v>70</v>
      </c>
    </row>
    <row r="9" spans="1:13" ht="13.5">
      <c r="A9" s="23">
        <v>5</v>
      </c>
      <c r="B9" s="24" t="s">
        <v>58</v>
      </c>
      <c r="M9" s="79"/>
    </row>
    <row r="10" spans="1:2" ht="12">
      <c r="A10" s="23">
        <v>6</v>
      </c>
      <c r="B10" s="24" t="s">
        <v>59</v>
      </c>
    </row>
    <row r="11" spans="1:2" ht="12">
      <c r="A11" s="23">
        <v>7</v>
      </c>
      <c r="B11" s="24" t="s">
        <v>60</v>
      </c>
    </row>
    <row r="12" spans="1:2" ht="12">
      <c r="A12" s="23">
        <v>8</v>
      </c>
      <c r="B12" s="24" t="s">
        <v>77</v>
      </c>
    </row>
    <row r="13" spans="1:2" ht="12">
      <c r="A13" s="23">
        <v>9</v>
      </c>
      <c r="B13" s="24" t="s">
        <v>75</v>
      </c>
    </row>
    <row r="14" ht="12">
      <c r="C14" s="24"/>
    </row>
    <row r="15" ht="13.5">
      <c r="A15" s="25" t="s">
        <v>13</v>
      </c>
    </row>
    <row r="16" ht="12">
      <c r="J16" s="22" t="s">
        <v>17</v>
      </c>
    </row>
    <row r="17" spans="1:11" ht="12.75" thickBot="1">
      <c r="A17" s="22" t="s">
        <v>6</v>
      </c>
      <c r="B17" s="22" t="s">
        <v>2</v>
      </c>
      <c r="C17" s="22" t="s">
        <v>3</v>
      </c>
      <c r="J17" s="22" t="s">
        <v>2</v>
      </c>
      <c r="K17" s="22" t="s">
        <v>3</v>
      </c>
    </row>
    <row r="18" spans="1:11" ht="12.75" thickTop="1">
      <c r="A18" s="23">
        <v>0</v>
      </c>
      <c r="B18" s="2">
        <v>15</v>
      </c>
      <c r="C18" s="3">
        <v>1.036</v>
      </c>
      <c r="J18" s="26">
        <f>B18</f>
        <v>15</v>
      </c>
      <c r="K18" s="26">
        <f>$B$22*J18*J18+$B$23*J18+$B$24</f>
        <v>1.036</v>
      </c>
    </row>
    <row r="19" spans="1:11" ht="12">
      <c r="A19" s="23">
        <v>1</v>
      </c>
      <c r="B19" s="4">
        <v>30</v>
      </c>
      <c r="C19" s="5">
        <v>1.108</v>
      </c>
      <c r="J19" s="22">
        <f>(J18+J20)/2</f>
        <v>22.5</v>
      </c>
      <c r="K19" s="26">
        <f>$B$22*J19*J19+$B$23*J19+$B$24</f>
        <v>1.0723937500000003</v>
      </c>
    </row>
    <row r="20" spans="1:11" ht="12.75" thickBot="1">
      <c r="A20" s="23">
        <v>2</v>
      </c>
      <c r="B20" s="6">
        <v>55</v>
      </c>
      <c r="C20" s="7">
        <v>1.221</v>
      </c>
      <c r="J20" s="26">
        <f>B19</f>
        <v>30</v>
      </c>
      <c r="K20" s="26">
        <f>$B$22*J20*J20+$B$23*J20+$B$24</f>
        <v>1.108</v>
      </c>
    </row>
    <row r="21" spans="1:11" ht="12.75" thickTop="1">
      <c r="A21" s="23"/>
      <c r="J21" s="22">
        <f>(J20+J22)/2</f>
        <v>42.5</v>
      </c>
      <c r="K21" s="26">
        <f>$B$22*J21*J21+$B$23*J21+$B$24</f>
        <v>1.1655937500000002</v>
      </c>
    </row>
    <row r="22" spans="1:11" ht="13.5">
      <c r="A22" s="23" t="s">
        <v>0</v>
      </c>
      <c r="B22" s="27">
        <f>((B19-B18)*(C20-C18)-(B20-B18)*(C19-C18))/(B19-B18)/(B20-B18)/(B20-B19)</f>
        <v>-7.000000000000117E-06</v>
      </c>
      <c r="C22" s="28" t="s">
        <v>30</v>
      </c>
      <c r="J22" s="26">
        <f>B20</f>
        <v>55</v>
      </c>
      <c r="K22" s="26">
        <f>$B$22*J22*J22+$B$23*J22+$B$24</f>
        <v>1.221</v>
      </c>
    </row>
    <row r="23" spans="1:3" ht="13.5">
      <c r="A23" s="23" t="s">
        <v>1</v>
      </c>
      <c r="B23" s="29">
        <f>(C20-C18)/(B20-B18)-B22*(B20+B18)</f>
        <v>0.00511500000000001</v>
      </c>
      <c r="C23" s="28" t="s">
        <v>31</v>
      </c>
    </row>
    <row r="24" spans="1:8" ht="14.25">
      <c r="A24" s="23" t="s">
        <v>4</v>
      </c>
      <c r="B24" s="30">
        <f>C18-B22*B18*B18-B23*B18</f>
        <v>0.96085</v>
      </c>
      <c r="C24" s="28" t="s">
        <v>32</v>
      </c>
      <c r="H24" s="26"/>
    </row>
    <row r="25" ht="12">
      <c r="H25" s="26"/>
    </row>
    <row r="26" spans="2:8" ht="12">
      <c r="B26" s="22" t="s">
        <v>5</v>
      </c>
      <c r="H26" s="26"/>
    </row>
    <row r="27" spans="2:8" ht="12.75" thickBot="1">
      <c r="B27" s="22" t="s">
        <v>2</v>
      </c>
      <c r="C27" s="22" t="s">
        <v>3</v>
      </c>
      <c r="H27" s="26"/>
    </row>
    <row r="28" spans="2:8" ht="13.5" thickBot="1" thickTop="1">
      <c r="B28" s="1">
        <v>0.7</v>
      </c>
      <c r="C28" s="31">
        <f>$B$22*B28*B28+$B$23*B28+$B$24</f>
        <v>0.9644270699999999</v>
      </c>
      <c r="H28" s="26"/>
    </row>
    <row r="29" ht="12.75" thickTop="1"/>
    <row r="30" spans="1:7" ht="14.25">
      <c r="A30" s="32" t="s">
        <v>7</v>
      </c>
      <c r="G30" s="22" t="s">
        <v>17</v>
      </c>
    </row>
    <row r="31" spans="7:38" ht="12">
      <c r="G31" s="22" t="s">
        <v>2</v>
      </c>
      <c r="AJ31" s="56"/>
      <c r="AK31" s="57"/>
      <c r="AL31" s="58" t="s">
        <v>3</v>
      </c>
    </row>
    <row r="32" spans="1:38" ht="12.75" thickBot="1">
      <c r="A32" s="22" t="s">
        <v>6</v>
      </c>
      <c r="B32" s="22" t="s">
        <v>2</v>
      </c>
      <c r="C32" s="22" t="s">
        <v>3</v>
      </c>
      <c r="H32" s="22" t="s">
        <v>3</v>
      </c>
      <c r="AJ32" s="59">
        <v>0</v>
      </c>
      <c r="AK32" s="60">
        <f>MIN(B$121:B$130)+(MAX(B$121:B$130)-MIN(B$121:B$130))*AJ32/100</f>
        <v>0</v>
      </c>
      <c r="AL32" s="61">
        <f>fpoly(B$113,AK32,E$121:E$130)</f>
        <v>1</v>
      </c>
    </row>
    <row r="33" spans="1:38" ht="13.5" thickBot="1" thickTop="1">
      <c r="A33" s="23">
        <v>0</v>
      </c>
      <c r="B33" s="22">
        <v>0</v>
      </c>
      <c r="C33" s="8">
        <v>2.33</v>
      </c>
      <c r="G33" s="26">
        <f>B33</f>
        <v>0</v>
      </c>
      <c r="H33" s="22">
        <f aca="true" t="shared" si="0" ref="H33:H38">$C$33/(1+$B$39*G33^$B$38)</f>
        <v>2.33</v>
      </c>
      <c r="AJ33" s="59">
        <v>1</v>
      </c>
      <c r="AK33" s="60">
        <f>MIN(B$121:B$130)+(MAX(B$121:B$130)-MIN(B$121:B$130))*AJ33/100</f>
        <v>0.01</v>
      </c>
      <c r="AL33" s="61">
        <f>fpoly(B$113,AK33,E$121:E$130)</f>
        <v>1.0045906830693</v>
      </c>
    </row>
    <row r="34" spans="1:38" ht="12.75" thickTop="1">
      <c r="A34" s="23">
        <v>1</v>
      </c>
      <c r="B34" s="2">
        <f>1.14-0.28</f>
        <v>0.8599999999999999</v>
      </c>
      <c r="C34" s="9">
        <v>1.74</v>
      </c>
      <c r="G34" s="22">
        <f>(B35-B33)/5</f>
        <v>0.39999999999999997</v>
      </c>
      <c r="H34" s="22">
        <f t="shared" si="0"/>
        <v>1.8505939721513645</v>
      </c>
      <c r="AJ34" s="59">
        <v>2</v>
      </c>
      <c r="AK34" s="60">
        <f>MIN(B$121:B$130)+(MAX(B$121:B$130)-MIN(B$121:B$130))*AJ34/100</f>
        <v>0.02</v>
      </c>
      <c r="AL34" s="61">
        <f>fpoly(B$113,AK34,E$121:E$130)</f>
        <v>1.0086497780424</v>
      </c>
    </row>
    <row r="35" spans="1:38" ht="12.75" thickBot="1">
      <c r="A35" s="23">
        <v>2</v>
      </c>
      <c r="B35" s="6">
        <f>2.28-0.28</f>
        <v>1.9999999999999998</v>
      </c>
      <c r="C35" s="10">
        <v>1.6</v>
      </c>
      <c r="G35" s="22">
        <f>2*G34</f>
        <v>0.7999999999999999</v>
      </c>
      <c r="H35" s="22">
        <f t="shared" si="0"/>
        <v>1.7511354837367157</v>
      </c>
      <c r="AJ35" s="59">
        <v>3</v>
      </c>
      <c r="AK35" s="60">
        <f>MIN(B$121:B$130)+(MAX(B$121:B$130)-MIN(B$121:B$130))*AJ35/100</f>
        <v>0.03</v>
      </c>
      <c r="AL35" s="61">
        <f>fpoly(B$113,AK35,E$121:E$130)</f>
        <v>1.0121868378151009</v>
      </c>
    </row>
    <row r="36" spans="1:38" ht="12.75" thickTop="1">
      <c r="A36" s="23"/>
      <c r="G36" s="22">
        <f>3*G34</f>
        <v>1.2</v>
      </c>
      <c r="H36" s="22">
        <f t="shared" si="0"/>
        <v>1.6869053963535992</v>
      </c>
      <c r="AJ36" s="59">
        <v>4</v>
      </c>
      <c r="AK36" s="60">
        <f>MIN(B$121:B$130)+(MAX(B$121:B$130)-MIN(B$121:B$130))*AJ36/100</f>
        <v>0.04</v>
      </c>
      <c r="AL36" s="61">
        <f>fpoly(B$113,AK36,E$121:E$130)</f>
        <v>1.0152113945472026</v>
      </c>
    </row>
    <row r="37" spans="1:38" ht="13.5">
      <c r="A37" s="23" t="s">
        <v>1</v>
      </c>
      <c r="B37" s="31">
        <f>C33/C35-1</f>
        <v>0.45625000000000004</v>
      </c>
      <c r="C37" s="28" t="s">
        <v>14</v>
      </c>
      <c r="G37" s="22">
        <f>4*G34</f>
        <v>1.5999999999999999</v>
      </c>
      <c r="H37" s="22">
        <f t="shared" si="0"/>
        <v>1.6387504771104258</v>
      </c>
      <c r="AJ37" s="59">
        <v>5</v>
      </c>
      <c r="AK37" s="60">
        <f>MIN(B$121:B$130)+(MAX(B$121:B$130)-MIN(B$121:B$130))*AJ37/100</f>
        <v>0.05</v>
      </c>
      <c r="AL37" s="61">
        <f>fpoly(B$113,AK37,E$121:E$130)</f>
        <v>1.017732959662506</v>
      </c>
    </row>
    <row r="38" spans="1:38" ht="13.5">
      <c r="A38" s="23" t="s">
        <v>4</v>
      </c>
      <c r="B38" s="31">
        <f>LN((C33/C34-1)/B37)/LN(B34/B35)</f>
        <v>0.35167536346377226</v>
      </c>
      <c r="C38" s="28" t="s">
        <v>15</v>
      </c>
      <c r="G38" s="22">
        <f>B35</f>
        <v>1.9999999999999998</v>
      </c>
      <c r="H38" s="22">
        <f t="shared" si="0"/>
        <v>1.6</v>
      </c>
      <c r="AJ38" s="59">
        <v>6</v>
      </c>
      <c r="AK38" s="60">
        <f>MIN(B$121:B$130)+(MAX(B$121:B$130)-MIN(B$121:B$130))*AJ38/100</f>
        <v>0.06</v>
      </c>
      <c r="AL38" s="61">
        <f>fpoly(B$113,AK38,E$121:E$130)</f>
        <v>1.0197610238488128</v>
      </c>
    </row>
    <row r="39" spans="1:38" ht="14.25">
      <c r="A39" s="73" t="s">
        <v>0</v>
      </c>
      <c r="B39" s="31">
        <f>B37/B35^B38</f>
        <v>0.3575510389506302</v>
      </c>
      <c r="C39" s="34" t="s">
        <v>16</v>
      </c>
      <c r="AJ39" s="59">
        <v>7</v>
      </c>
      <c r="AK39" s="60">
        <f>MIN(B$121:B$130)+(MAX(B$121:B$130)-MIN(B$121:B$130))*AJ39/100</f>
        <v>0.07</v>
      </c>
      <c r="AL39" s="61">
        <f>fpoly(B$113,AK39,E$121:E$130)</f>
        <v>1.021305057057924</v>
      </c>
    </row>
    <row r="40" spans="7:38" ht="12">
      <c r="G40" s="22">
        <f>B33</f>
        <v>0</v>
      </c>
      <c r="I40" s="22">
        <f>C33</f>
        <v>2.33</v>
      </c>
      <c r="AJ40" s="59">
        <v>8</v>
      </c>
      <c r="AK40" s="60">
        <f>MIN(B$121:B$130)+(MAX(B$121:B$130)-MIN(B$121:B$130))*AJ40/100</f>
        <v>0.08</v>
      </c>
      <c r="AL40" s="61">
        <f>fpoly(B$113,AK40,E$121:E$130)</f>
        <v>1.022374508505641</v>
      </c>
    </row>
    <row r="41" spans="2:38" ht="12">
      <c r="B41" s="22" t="s">
        <v>5</v>
      </c>
      <c r="G41" s="22">
        <f>B34</f>
        <v>0.8599999999999999</v>
      </c>
      <c r="I41" s="22">
        <f>C34</f>
        <v>1.74</v>
      </c>
      <c r="AJ41" s="59">
        <v>9</v>
      </c>
      <c r="AK41" s="60">
        <f>MIN(B$121:B$130)+(MAX(B$121:B$130)-MIN(B$121:B$130))*AJ41/100</f>
        <v>0.09</v>
      </c>
      <c r="AL41" s="61">
        <f>fpoly(B$113,AK41,E$121:E$130)</f>
        <v>1.0229788066717656</v>
      </c>
    </row>
    <row r="42" spans="2:38" ht="12.75" thickBot="1">
      <c r="B42" s="22" t="s">
        <v>2</v>
      </c>
      <c r="C42" s="22" t="s">
        <v>3</v>
      </c>
      <c r="G42" s="22">
        <f>B35</f>
        <v>1.9999999999999998</v>
      </c>
      <c r="I42" s="22">
        <f>C35</f>
        <v>1.6</v>
      </c>
      <c r="AJ42" s="59">
        <v>10</v>
      </c>
      <c r="AK42" s="60">
        <f>MIN(B$121:B$130)+(MAX(B$121:B$130)-MIN(B$121:B$130))*AJ42/100</f>
        <v>0.1</v>
      </c>
      <c r="AL42" s="61">
        <f>fpoly(B$113,AK42,E$121:E$130)</f>
        <v>1.0231273593000998</v>
      </c>
    </row>
    <row r="43" spans="2:38" ht="13.5" thickBot="1" thickTop="1">
      <c r="B43" s="1">
        <v>5</v>
      </c>
      <c r="C43" s="31">
        <f>$C$33/(1+$B$39*B43^$B$38)</f>
        <v>1.4296920604784369</v>
      </c>
      <c r="AJ43" s="59">
        <v>11</v>
      </c>
      <c r="AK43" s="60">
        <f>MIN(B$121:B$130)+(MAX(B$121:B$130)-MIN(B$121:B$130))*AJ43/100</f>
        <v>0.11</v>
      </c>
      <c r="AL43" s="61">
        <f>fpoly(B$113,AK43,E$121:E$130)</f>
        <v>1.0228295533984464</v>
      </c>
    </row>
    <row r="44" spans="36:38" ht="12.75" thickTop="1">
      <c r="AJ44" s="59">
        <v>12</v>
      </c>
      <c r="AK44" s="60">
        <f>MIN(B$121:B$130)+(MAX(B$121:B$130)-MIN(B$121:B$130))*AJ44/100</f>
        <v>0.12</v>
      </c>
      <c r="AL44" s="61">
        <f>fpoly(B$113,AK44,E$121:E$130)</f>
        <v>1.0220947552386073</v>
      </c>
    </row>
    <row r="45" spans="36:38" ht="12">
      <c r="AJ45" s="59">
        <v>13</v>
      </c>
      <c r="AK45" s="60">
        <f>MIN(B$121:B$130)+(MAX(B$121:B$130)-MIN(B$121:B$130))*AJ45/100</f>
        <v>0.13</v>
      </c>
      <c r="AL45" s="61">
        <f>fpoly(B$113,AK45,E$121:E$130)</f>
        <v>1.0209323103563854</v>
      </c>
    </row>
    <row r="46" spans="1:38" ht="13.5">
      <c r="A46" s="32" t="s">
        <v>63</v>
      </c>
      <c r="AJ46" s="59">
        <v>14</v>
      </c>
      <c r="AK46" s="60">
        <f>MIN(B$121:B$130)+(MAX(B$121:B$130)-MIN(B$121:B$130))*AJ46/100</f>
        <v>0.14</v>
      </c>
      <c r="AL46" s="61">
        <f>fpoly(B$113,AK46,E$121:E$130)</f>
        <v>1.0193515435515843</v>
      </c>
    </row>
    <row r="47" spans="7:38" ht="12">
      <c r="G47" s="22" t="s">
        <v>2</v>
      </c>
      <c r="AJ47" s="59">
        <v>15</v>
      </c>
      <c r="AK47" s="60">
        <f>MIN(B$121:B$130)+(MAX(B$121:B$130)-MIN(B$121:B$130))*AJ47/100</f>
        <v>0.15</v>
      </c>
      <c r="AL47" s="61">
        <f>fpoly(B$113,AK47,E$121:E$130)</f>
        <v>1.0173617588880064</v>
      </c>
    </row>
    <row r="48" spans="1:38" ht="12.75" thickBot="1">
      <c r="A48" s="22" t="s">
        <v>6</v>
      </c>
      <c r="B48" s="22" t="s">
        <v>2</v>
      </c>
      <c r="C48" s="22" t="s">
        <v>3</v>
      </c>
      <c r="H48" s="22" t="s">
        <v>3</v>
      </c>
      <c r="AJ48" s="59">
        <v>16</v>
      </c>
      <c r="AK48" s="60">
        <f>MIN(B$121:B$130)+(MAX(B$121:B$130)-MIN(B$121:B$130))*AJ48/100</f>
        <v>0.16</v>
      </c>
      <c r="AL48" s="61">
        <f>fpoly(B$113,AK48,E$121:E$130)</f>
        <v>1.0149722396934555</v>
      </c>
    </row>
    <row r="49" spans="1:38" ht="12.75" thickTop="1">
      <c r="A49" s="23">
        <v>0</v>
      </c>
      <c r="B49" s="2">
        <v>82</v>
      </c>
      <c r="C49" s="3">
        <v>300</v>
      </c>
      <c r="G49" s="26">
        <f>B49</f>
        <v>82</v>
      </c>
      <c r="H49" s="22">
        <f aca="true" t="shared" si="1" ref="H49:H54">$B$55/G49^$B$53</f>
        <v>299.99999999999994</v>
      </c>
      <c r="AJ49" s="59">
        <v>17</v>
      </c>
      <c r="AK49" s="60">
        <f>MIN(B$121:B$130)+(MAX(B$121:B$130)-MIN(B$121:B$130))*AJ49/100</f>
        <v>0.17</v>
      </c>
      <c r="AL49" s="61">
        <f>fpoly(B$113,AK49,E$121:E$130)</f>
        <v>1.012192248559735</v>
      </c>
    </row>
    <row r="50" spans="1:38" ht="12.75" thickBot="1">
      <c r="A50" s="23">
        <v>1</v>
      </c>
      <c r="B50" s="6">
        <v>200</v>
      </c>
      <c r="C50" s="7">
        <v>2</v>
      </c>
      <c r="G50" s="22">
        <f>(G$54-G$49)/5+G$49</f>
        <v>105.6</v>
      </c>
      <c r="H50" s="22">
        <f t="shared" si="1"/>
        <v>72.40722269551586</v>
      </c>
      <c r="AJ50" s="59">
        <v>18</v>
      </c>
      <c r="AK50" s="60">
        <f>MIN(B$121:B$130)+(MAX(B$121:B$130)-MIN(B$121:B$130))*AJ50/100</f>
        <v>0.18</v>
      </c>
      <c r="AL50" s="61">
        <f>fpoly(B$113,AK50,E$121:E$130)</f>
        <v>1.0090310273426497</v>
      </c>
    </row>
    <row r="51" spans="2:38" ht="12.75" thickTop="1">
      <c r="B51" s="26"/>
      <c r="C51" s="26"/>
      <c r="G51" s="22">
        <f>2*(G$54-G$49)/5+G$49</f>
        <v>129.2</v>
      </c>
      <c r="H51" s="22">
        <f t="shared" si="1"/>
        <v>23.307309375748755</v>
      </c>
      <c r="AJ51" s="59">
        <v>19</v>
      </c>
      <c r="AK51" s="60">
        <f>MIN(B$121:B$130)+(MAX(B$121:B$130)-MIN(B$121:B$130))*AJ51/100</f>
        <v>0.19</v>
      </c>
      <c r="AL51" s="61">
        <f>fpoly(B$113,AK51,E$121:E$130)</f>
        <v>1.0054977971620032</v>
      </c>
    </row>
    <row r="52" spans="7:38" ht="12">
      <c r="G52" s="22">
        <f>3*(G$54-G$49)/5+G$49</f>
        <v>152.8</v>
      </c>
      <c r="H52" s="22">
        <f t="shared" si="1"/>
        <v>9.078752129379495</v>
      </c>
      <c r="AJ52" s="59">
        <v>20</v>
      </c>
      <c r="AK52" s="60">
        <f>MIN(B$121:B$130)+(MAX(B$121:B$130)-MIN(B$121:B$130))*AJ52/100</f>
        <v>0.2</v>
      </c>
      <c r="AL52" s="61">
        <f>fpoly(B$113,AK52,E$121:E$130)</f>
        <v>1.0016017584016</v>
      </c>
    </row>
    <row r="53" spans="1:38" ht="13.5">
      <c r="A53" s="23" t="s">
        <v>1</v>
      </c>
      <c r="B53" s="31">
        <f>LN(C49/C50)/LN(B50/B49)</f>
        <v>5.619836096246226</v>
      </c>
      <c r="C53" s="28" t="s">
        <v>18</v>
      </c>
      <c r="G53" s="22">
        <f>4*(G$54-G$49)/5+G$49</f>
        <v>176.4</v>
      </c>
      <c r="H53" s="22">
        <f t="shared" si="1"/>
        <v>4.050303892132127</v>
      </c>
      <c r="AJ53" s="59">
        <v>21</v>
      </c>
      <c r="AK53" s="60">
        <f>MIN(B$121:B$130)+(MAX(B$121:B$130)-MIN(B$121:B$130))*AJ53/100</f>
        <v>0.21</v>
      </c>
      <c r="AL53" s="61">
        <f>fpoly(B$113,AK53,E$121:E$130)</f>
        <v>0.997352090709245</v>
      </c>
    </row>
    <row r="54" spans="1:38" ht="14.25">
      <c r="A54" s="73" t="s">
        <v>0</v>
      </c>
      <c r="B54" s="31">
        <f>B49*(C49)^(1/B53)</f>
        <v>226.25366037819038</v>
      </c>
      <c r="C54" s="28" t="s">
        <v>25</v>
      </c>
      <c r="G54" s="26">
        <f>B50</f>
        <v>200</v>
      </c>
      <c r="H54" s="22">
        <f t="shared" si="1"/>
        <v>2.000000000000004</v>
      </c>
      <c r="AJ54" s="59">
        <v>22</v>
      </c>
      <c r="AK54" s="60">
        <f>MIN(B$121:B$130)+(MAX(B$121:B$130)-MIN(B$121:B$130))*AJ54/100</f>
        <v>0.22</v>
      </c>
      <c r="AL54" s="61">
        <f>fpoly(B$113,AK54,E$121:E$130)</f>
        <v>0.9927579529967425</v>
      </c>
    </row>
    <row r="55" spans="1:38" ht="13.5">
      <c r="A55" s="73" t="s">
        <v>1</v>
      </c>
      <c r="B55" s="31">
        <f>B54^B53</f>
        <v>17078173599450.625</v>
      </c>
      <c r="C55" s="28" t="s">
        <v>19</v>
      </c>
      <c r="AJ55" s="59">
        <v>23</v>
      </c>
      <c r="AK55" s="60">
        <f>MIN(B$121:B$130)+(MAX(B$121:B$130)-MIN(B$121:B$130))*AJ55/100</f>
        <v>0.23</v>
      </c>
      <c r="AL55" s="61">
        <f>fpoly(B$113,AK55,E$121:E$130)</f>
        <v>0.9878284834398983</v>
      </c>
    </row>
    <row r="56" spans="7:38" ht="12">
      <c r="G56" s="22">
        <f>B49</f>
        <v>82</v>
      </c>
      <c r="I56" s="22">
        <f>C49</f>
        <v>300</v>
      </c>
      <c r="AJ56" s="59">
        <v>24</v>
      </c>
      <c r="AK56" s="60">
        <f>MIN(B$121:B$130)+(MAX(B$121:B$130)-MIN(B$121:B$130))*AJ56/100</f>
        <v>0.24</v>
      </c>
      <c r="AL56" s="61">
        <f>fpoly(B$113,AK56,E$121:E$130)</f>
        <v>0.9825727994785177</v>
      </c>
    </row>
    <row r="57" spans="2:38" ht="12">
      <c r="B57" s="22" t="s">
        <v>5</v>
      </c>
      <c r="G57" s="22">
        <f>B50</f>
        <v>200</v>
      </c>
      <c r="I57" s="22">
        <f>C50</f>
        <v>2</v>
      </c>
      <c r="AJ57" s="59">
        <v>25</v>
      </c>
      <c r="AK57" s="60">
        <f>MIN(B$121:B$130)+(MAX(B$121:B$130)-MIN(B$121:B$130))*AJ57/100</f>
        <v>0.25</v>
      </c>
      <c r="AL57" s="61">
        <f>fpoly(B$113,AK57,E$121:E$130)</f>
        <v>0.9769999978164062</v>
      </c>
    </row>
    <row r="58" spans="2:38" ht="12.75" thickBot="1">
      <c r="B58" s="22" t="s">
        <v>2</v>
      </c>
      <c r="C58" s="22" t="s">
        <v>3</v>
      </c>
      <c r="AJ58" s="59">
        <v>26</v>
      </c>
      <c r="AK58" s="60">
        <f>MIN(B$121:B$130)+(MAX(B$121:B$130)-MIN(B$121:B$130))*AJ58/100</f>
        <v>0.26</v>
      </c>
      <c r="AL58" s="61">
        <f>fpoly(B$113,AK58,E$121:E$130)</f>
        <v>0.9711191544213698</v>
      </c>
    </row>
    <row r="59" spans="2:38" ht="13.5" thickBot="1" thickTop="1">
      <c r="B59" s="1">
        <v>100</v>
      </c>
      <c r="C59" s="31">
        <f>$B$55/B59^$B$53</f>
        <v>98.34883761283756</v>
      </c>
      <c r="AJ59" s="59">
        <v>27</v>
      </c>
      <c r="AK59" s="60">
        <f>MIN(B$121:B$130)+(MAX(B$121:B$130)-MIN(B$121:B$130))*AJ59/100</f>
        <v>0.27</v>
      </c>
      <c r="AL59" s="61">
        <f>fpoly(B$113,AK59,E$121:E$130)</f>
        <v>0.9649393245252145</v>
      </c>
    </row>
    <row r="60" spans="36:38" ht="12.75" thickTop="1">
      <c r="AJ60" s="59">
        <v>28</v>
      </c>
      <c r="AK60" s="60">
        <f>MIN(B$121:B$130)+(MAX(B$121:B$130)-MIN(B$121:B$130))*AJ60/100</f>
        <v>0.28</v>
      </c>
      <c r="AL60" s="61">
        <f>fpoly(B$113,AK60,E$121:E$130)</f>
        <v>0.9584695426237466</v>
      </c>
    </row>
    <row r="61" spans="36:38" ht="12">
      <c r="AJ61" s="59">
        <v>29</v>
      </c>
      <c r="AK61" s="60">
        <f>MIN(B$121:B$130)+(MAX(B$121:B$130)-MIN(B$121:B$130))*AJ61/100</f>
        <v>0.29</v>
      </c>
      <c r="AL61" s="61">
        <f>fpoly(B$113,AK61,E$121:E$130)</f>
        <v>0.9517188224767728</v>
      </c>
    </row>
    <row r="62" spans="1:38" ht="13.5">
      <c r="A62" s="32" t="s">
        <v>8</v>
      </c>
      <c r="AJ62" s="59">
        <v>30</v>
      </c>
      <c r="AK62" s="60">
        <f>MIN(B$121:B$130)+(MAX(B$121:B$130)-MIN(B$121:B$130))*AJ62/100</f>
        <v>0.3</v>
      </c>
      <c r="AL62" s="61">
        <f>fpoly(B$113,AK62,E$121:E$130)</f>
        <v>0.9446961571080998</v>
      </c>
    </row>
    <row r="63" spans="7:38" ht="12">
      <c r="G63" s="22" t="s">
        <v>2</v>
      </c>
      <c r="AJ63" s="59">
        <v>31</v>
      </c>
      <c r="AK63" s="60">
        <f>MIN(B$121:B$130)+(MAX(B$121:B$130)-MIN(B$121:B$130))*AJ63/100</f>
        <v>0.31</v>
      </c>
      <c r="AL63" s="61">
        <f>fpoly(B$113,AK63,E$121:E$130)</f>
        <v>0.937410518805535</v>
      </c>
    </row>
    <row r="64" spans="1:38" ht="12.75" thickBot="1">
      <c r="A64" s="22" t="s">
        <v>6</v>
      </c>
      <c r="B64" s="22" t="s">
        <v>2</v>
      </c>
      <c r="C64" s="22" t="s">
        <v>3</v>
      </c>
      <c r="H64" s="22" t="s">
        <v>3</v>
      </c>
      <c r="AJ64" s="59">
        <v>32</v>
      </c>
      <c r="AK64" s="60">
        <f>MIN(B$121:B$130)+(MAX(B$121:B$130)-MIN(B$121:B$130))*AJ64/100</f>
        <v>0.32</v>
      </c>
      <c r="AL64" s="61">
        <f>fpoly(B$113,AK64,E$121:E$130)</f>
        <v>0.9298708591208857</v>
      </c>
    </row>
    <row r="65" spans="1:38" ht="12.75" thickTop="1">
      <c r="A65" s="23">
        <v>0</v>
      </c>
      <c r="B65" s="2">
        <v>82</v>
      </c>
      <c r="C65" s="3">
        <v>300</v>
      </c>
      <c r="G65" s="26">
        <f>B65</f>
        <v>82</v>
      </c>
      <c r="H65" s="22">
        <f aca="true" t="shared" si="2" ref="H65:H70">$B$70*EXP($B$69*G65)</f>
        <v>300</v>
      </c>
      <c r="AJ65" s="59">
        <v>33</v>
      </c>
      <c r="AK65" s="60">
        <f>MIN(B$121:B$130)+(MAX(B$121:B$130)-MIN(B$121:B$130))*AJ65/100</f>
        <v>0.33</v>
      </c>
      <c r="AL65" s="61">
        <f>fpoly(B$113,AK65,E$121:E$130)</f>
        <v>0.9220861088699591</v>
      </c>
    </row>
    <row r="66" spans="1:38" ht="12.75" thickBot="1">
      <c r="A66" s="23">
        <v>1</v>
      </c>
      <c r="B66" s="6">
        <v>200</v>
      </c>
      <c r="C66" s="7">
        <v>1</v>
      </c>
      <c r="G66" s="22">
        <f>(G70-G65)/5+G65</f>
        <v>105.6</v>
      </c>
      <c r="H66" s="22">
        <f t="shared" si="2"/>
        <v>95.87315155141829</v>
      </c>
      <c r="AJ66" s="59">
        <v>34</v>
      </c>
      <c r="AK66" s="60">
        <f>MIN(B$121:B$130)+(MAX(B$121:B$130)-MIN(B$121:B$130))*AJ66/100</f>
        <v>0.34</v>
      </c>
      <c r="AL66" s="61">
        <f>fpoly(B$113,AK66,E$121:E$130)</f>
        <v>0.9140651781325633</v>
      </c>
    </row>
    <row r="67" spans="2:38" ht="12.75" thickTop="1">
      <c r="B67" s="26"/>
      <c r="C67" s="26"/>
      <c r="G67" s="22">
        <f>2*(G70-G65)/5+G65</f>
        <v>129.2</v>
      </c>
      <c r="H67" s="22">
        <f t="shared" si="2"/>
        <v>30.638870628004074</v>
      </c>
      <c r="AJ67" s="59">
        <v>35</v>
      </c>
      <c r="AK67" s="60">
        <f>MIN(B$121:B$130)+(MAX(B$121:B$130)-MIN(B$121:B$130))*AJ67/100</f>
        <v>0.35</v>
      </c>
      <c r="AL67" s="61">
        <f>fpoly(B$113,AK67,E$121:E$130)</f>
        <v>0.9058169562525064</v>
      </c>
    </row>
    <row r="68" spans="7:38" ht="12">
      <c r="G68" s="22">
        <f>3*(G70-G65)/5+G65</f>
        <v>152.8</v>
      </c>
      <c r="H68" s="22">
        <f t="shared" si="2"/>
        <v>9.791483623609764</v>
      </c>
      <c r="AJ68" s="59">
        <v>36</v>
      </c>
      <c r="AK68" s="60">
        <f>MIN(B$121:B$130)+(MAX(B$121:B$130)-MIN(B$121:B$130))*AJ68/100</f>
        <v>0.36</v>
      </c>
      <c r="AL68" s="61">
        <f>fpoly(B$113,AK68,E$121:E$130)</f>
        <v>0.8973503118375961</v>
      </c>
    </row>
    <row r="69" spans="1:38" ht="13.5">
      <c r="A69" s="23" t="s">
        <v>1</v>
      </c>
      <c r="B69" s="31">
        <f>LN(C65/C66)/(B65-B66)</f>
        <v>-0.048337139615730516</v>
      </c>
      <c r="C69" s="28" t="s">
        <v>20</v>
      </c>
      <c r="G69" s="22">
        <f>4*(G70-G65)/5+G65</f>
        <v>176.4</v>
      </c>
      <c r="H69" s="22">
        <f t="shared" si="2"/>
        <v>3.129134644531898</v>
      </c>
      <c r="AJ69" s="59">
        <v>37</v>
      </c>
      <c r="AK69" s="60">
        <f>MIN(B$121:B$130)+(MAX(B$121:B$130)-MIN(B$121:B$130))*AJ69/100</f>
        <v>0.37</v>
      </c>
      <c r="AL69" s="61">
        <f>fpoly(B$113,AK69,E$121:E$130)</f>
        <v>0.8886740927596416</v>
      </c>
    </row>
    <row r="70" spans="1:38" ht="13.5">
      <c r="A70" s="74" t="s">
        <v>0</v>
      </c>
      <c r="B70" s="31">
        <f>C65/EXP(B69*B65)</f>
        <v>15794.671623940647</v>
      </c>
      <c r="C70" s="28" t="s">
        <v>21</v>
      </c>
      <c r="G70" s="26">
        <f>B66</f>
        <v>200</v>
      </c>
      <c r="H70" s="22">
        <f t="shared" si="2"/>
        <v>0.9999999999999998</v>
      </c>
      <c r="AJ70" s="59">
        <v>38</v>
      </c>
      <c r="AK70" s="60">
        <f>MIN(B$121:B$130)+(MAX(B$121:B$130)-MIN(B$121:B$130))*AJ70/100</f>
        <v>0.38</v>
      </c>
      <c r="AL70" s="61">
        <f>fpoly(B$113,AK70,E$121:E$130)</f>
        <v>0.8797971261544515</v>
      </c>
    </row>
    <row r="71" spans="1:38" ht="12">
      <c r="A71" s="33"/>
      <c r="AJ71" s="59">
        <v>39</v>
      </c>
      <c r="AK71" s="60">
        <f>MIN(B$121:B$130)+(MAX(B$121:B$130)-MIN(B$121:B$130))*AJ71/100</f>
        <v>0.39</v>
      </c>
      <c r="AL71" s="61">
        <f>fpoly(B$113,AK71,E$121:E$130)</f>
        <v>0.8707282184218343</v>
      </c>
    </row>
    <row r="72" spans="7:38" ht="12">
      <c r="G72" s="22">
        <f>B65</f>
        <v>82</v>
      </c>
      <c r="I72" s="22">
        <f>C65</f>
        <v>300</v>
      </c>
      <c r="AJ72" s="59">
        <v>40</v>
      </c>
      <c r="AK72" s="60">
        <f>MIN(B$121:B$130)+(MAX(B$121:B$130)-MIN(B$121:B$130))*AJ72/100</f>
        <v>0.4</v>
      </c>
      <c r="AL72" s="61">
        <f>fpoly(B$113,AK72,E$121:E$130)</f>
        <v>0.8614761552256</v>
      </c>
    </row>
    <row r="73" spans="2:38" ht="12">
      <c r="B73" s="22" t="s">
        <v>5</v>
      </c>
      <c r="G73" s="22">
        <f>B66</f>
        <v>200</v>
      </c>
      <c r="I73" s="22">
        <f>C66</f>
        <v>1</v>
      </c>
      <c r="AJ73" s="59">
        <v>41</v>
      </c>
      <c r="AK73" s="60">
        <f>MIN(B$121:B$130)+(MAX(B$121:B$130)-MIN(B$121:B$130))*AJ73/100</f>
        <v>0.41</v>
      </c>
      <c r="AL73" s="61">
        <f>fpoly(B$113,AK73,E$121:E$130)</f>
        <v>0.8520497014935577</v>
      </c>
    </row>
    <row r="74" spans="2:38" ht="12.75" thickBot="1">
      <c r="B74" s="22" t="s">
        <v>2</v>
      </c>
      <c r="C74" s="22" t="s">
        <v>3</v>
      </c>
      <c r="AJ74" s="59">
        <v>42</v>
      </c>
      <c r="AK74" s="60">
        <f>MIN(B$121:B$130)+(MAX(B$121:B$130)-MIN(B$121:B$130))*AJ74/100</f>
        <v>0.42</v>
      </c>
      <c r="AL74" s="61">
        <f>fpoly(B$113,AK74,E$121:E$130)</f>
        <v>0.8424576014175171</v>
      </c>
    </row>
    <row r="75" spans="2:38" ht="13.5" thickBot="1" thickTop="1">
      <c r="B75" s="1">
        <v>100</v>
      </c>
      <c r="C75" s="31">
        <f>$B$70*EXP($B$69*B75)</f>
        <v>125.67685397057264</v>
      </c>
      <c r="AJ75" s="59">
        <v>43</v>
      </c>
      <c r="AK75" s="60">
        <f>MIN(B$121:B$130)+(MAX(B$121:B$130)-MIN(B$121:B$130))*AJ75/100</f>
        <v>0.43</v>
      </c>
      <c r="AL75" s="61">
        <f>fpoly(B$113,AK75,E$121:E$130)</f>
        <v>0.8327085784532879</v>
      </c>
    </row>
    <row r="76" spans="36:38" ht="12.75" thickTop="1">
      <c r="AJ76" s="59">
        <v>44</v>
      </c>
      <c r="AK76" s="60">
        <f>MIN(B$121:B$130)+(MAX(B$121:B$130)-MIN(B$121:B$130))*AJ76/100</f>
        <v>0.44</v>
      </c>
      <c r="AL76" s="61">
        <f>fpoly(B$113,AK76,E$121:E$130)</f>
        <v>0.8228113353206808</v>
      </c>
    </row>
    <row r="77" spans="1:38" ht="12">
      <c r="A77" s="32" t="s">
        <v>9</v>
      </c>
      <c r="AJ77" s="59">
        <v>45</v>
      </c>
      <c r="AK77" s="60">
        <f>MIN(B$121:B$130)+(MAX(B$121:B$130)-MIN(B$121:B$130))*AJ77/100</f>
        <v>0.45</v>
      </c>
      <c r="AL77" s="61">
        <f>fpoly(B$113,AK77,E$121:E$130)</f>
        <v>0.8127745540035062</v>
      </c>
    </row>
    <row r="78" spans="36:38" ht="12">
      <c r="AJ78" s="59">
        <v>46</v>
      </c>
      <c r="AK78" s="60">
        <f>MIN(B$121:B$130)+(MAX(B$121:B$130)-MIN(B$121:B$130))*AJ78/100</f>
        <v>0.46</v>
      </c>
      <c r="AL78" s="61">
        <f>fpoly(B$113,AK78,E$121:E$130)</f>
        <v>0.8026068957495746</v>
      </c>
    </row>
    <row r="79" spans="1:38" ht="12.75" thickBot="1">
      <c r="A79" s="22" t="s">
        <v>6</v>
      </c>
      <c r="B79" s="22" t="s">
        <v>2</v>
      </c>
      <c r="C79" s="22" t="s">
        <v>3</v>
      </c>
      <c r="G79" s="22" t="s">
        <v>2</v>
      </c>
      <c r="H79" s="22" t="s">
        <v>3</v>
      </c>
      <c r="AJ79" s="59">
        <v>47</v>
      </c>
      <c r="AK79" s="60">
        <f>MIN(B$121:B$130)+(MAX(B$121:B$130)-MIN(B$121:B$130))*AJ79/100</f>
        <v>0.47</v>
      </c>
      <c r="AL79" s="61">
        <f>fpoly(B$113,AK79,E$121:E$130)</f>
        <v>0.7923170010706969</v>
      </c>
    </row>
    <row r="80" spans="1:38" ht="12.75" thickTop="1">
      <c r="A80" s="23">
        <v>0</v>
      </c>
      <c r="B80" s="87">
        <v>83</v>
      </c>
      <c r="C80" s="88">
        <v>270</v>
      </c>
      <c r="G80" s="26">
        <f>B80</f>
        <v>83</v>
      </c>
      <c r="H80" s="22">
        <f aca="true" t="shared" si="3" ref="H80:H85">$B$84*LN(G80)+$B$85</f>
        <v>270</v>
      </c>
      <c r="AJ80" s="59">
        <v>48</v>
      </c>
      <c r="AK80" s="60">
        <f>MIN(B$121:B$130)+(MAX(B$121:B$130)-MIN(B$121:B$130))*AJ80/100</f>
        <v>0.48</v>
      </c>
      <c r="AL80" s="61">
        <f>fpoly(B$113,AK80,E$121:E$130)</f>
        <v>0.7819134897426839</v>
      </c>
    </row>
    <row r="81" spans="1:38" ht="12.75" thickBot="1">
      <c r="A81" s="23">
        <v>1</v>
      </c>
      <c r="B81" s="89">
        <v>200</v>
      </c>
      <c r="C81" s="90">
        <v>0</v>
      </c>
      <c r="G81" s="22">
        <f>(G85-G80)/5+G80</f>
        <v>106.4</v>
      </c>
      <c r="H81" s="22">
        <f t="shared" si="3"/>
        <v>193.75177514053235</v>
      </c>
      <c r="AJ81" s="59">
        <v>49</v>
      </c>
      <c r="AK81" s="60">
        <f>MIN(B$121:B$130)+(MAX(B$121:B$130)-MIN(B$121:B$130))*AJ81/100</f>
        <v>0.49</v>
      </c>
      <c r="AL81" s="61">
        <f>fpoly(B$113,AK81,E$121:E$130)</f>
        <v>0.7714049608053478</v>
      </c>
    </row>
    <row r="82" spans="1:38" ht="12.75" thickTop="1">
      <c r="A82" s="23"/>
      <c r="B82" s="26"/>
      <c r="C82" s="26"/>
      <c r="G82" s="22">
        <f>2*(G85-G80)/5+G80</f>
        <v>129.8</v>
      </c>
      <c r="H82" s="22">
        <f t="shared" si="3"/>
        <v>132.72333879611097</v>
      </c>
      <c r="AJ82" s="59">
        <v>50</v>
      </c>
      <c r="AK82" s="60">
        <f>MIN(B$121:B$130)+(MAX(B$121:B$130)-MIN(B$121:B$130))*AJ82/100</f>
        <v>0.5</v>
      </c>
      <c r="AL82" s="61">
        <f>fpoly(B$113,AK82,E$121:E$130)</f>
        <v>0.7607999925625</v>
      </c>
    </row>
    <row r="83" spans="1:38" ht="12">
      <c r="A83" s="23"/>
      <c r="G83" s="22">
        <f>3*(G85-G80)/5+G80</f>
        <v>153.2</v>
      </c>
      <c r="H83" s="22">
        <f t="shared" si="3"/>
        <v>81.83813702751786</v>
      </c>
      <c r="AJ83" s="59">
        <v>51</v>
      </c>
      <c r="AK83" s="60">
        <f>MIN(B$121:B$130)+(MAX(B$121:B$130)-MIN(B$121:B$130))*AJ83/100</f>
        <v>0.51</v>
      </c>
      <c r="AL83" s="61">
        <f>fpoly(B$113,AK83,E$121:E$130)</f>
        <v>0.750107142581952</v>
      </c>
    </row>
    <row r="84" spans="1:38" ht="13.5">
      <c r="A84" s="74" t="s">
        <v>0</v>
      </c>
      <c r="B84" s="31">
        <f>(C81-C80)/LN(B81/B80)</f>
        <v>-307.0007220922008</v>
      </c>
      <c r="C84" s="28" t="s">
        <v>22</v>
      </c>
      <c r="G84" s="22">
        <f>4*(G85-G80)/5+G80</f>
        <v>176.6</v>
      </c>
      <c r="H84" s="22">
        <f t="shared" si="3"/>
        <v>38.200123912089566</v>
      </c>
      <c r="AJ84" s="59">
        <v>52</v>
      </c>
      <c r="AK84" s="60">
        <f>MIN(B$121:B$130)+(MAX(B$121:B$130)-MIN(B$121:B$130))*AJ84/100</f>
        <v>0.52</v>
      </c>
      <c r="AL84" s="61">
        <f>fpoly(B$113,AK84,E$121:E$130)</f>
        <v>0.739334947695516</v>
      </c>
    </row>
    <row r="85" spans="1:38" ht="13.5">
      <c r="A85" s="23" t="s">
        <v>1</v>
      </c>
      <c r="B85" s="31">
        <f>C80-$B$84*LN(B80)</f>
        <v>1626.5872574038951</v>
      </c>
      <c r="C85" s="28" t="s">
        <v>23</v>
      </c>
      <c r="G85" s="26">
        <f>B81</f>
        <v>200</v>
      </c>
      <c r="H85" s="22">
        <f t="shared" si="3"/>
        <v>0</v>
      </c>
      <c r="AJ85" s="59">
        <v>53</v>
      </c>
      <c r="AK85" s="60">
        <f>MIN(B$121:B$130)+(MAX(B$121:B$130)-MIN(B$121:B$130))*AJ85/100</f>
        <v>0.53</v>
      </c>
      <c r="AL85" s="61">
        <f>fpoly(B$113,AK85,E$121:E$130)</f>
        <v>0.7284919239990048</v>
      </c>
    </row>
    <row r="86" spans="36:38" ht="12">
      <c r="AJ86" s="59">
        <v>54</v>
      </c>
      <c r="AK86" s="60">
        <f>MIN(B$121:B$130)+(MAX(B$121:B$130)-MIN(B$121:B$130))*AJ86/100</f>
        <v>0.54</v>
      </c>
      <c r="AL86" s="61">
        <f>fpoly(B$113,AK86,E$121:E$130)</f>
        <v>0.7175865668522305</v>
      </c>
    </row>
    <row r="87" spans="36:38" ht="12">
      <c r="AJ87" s="59">
        <v>55</v>
      </c>
      <c r="AK87" s="60">
        <f>MIN(B$121:B$130)+(MAX(B$121:B$130)-MIN(B$121:B$130))*AJ87/100</f>
        <v>0.55</v>
      </c>
      <c r="AL87" s="61">
        <f>fpoly(B$113,AK87,E$121:E$130)</f>
        <v>0.7066273508790061</v>
      </c>
    </row>
    <row r="88" spans="2:38" ht="12">
      <c r="B88" s="22" t="s">
        <v>5</v>
      </c>
      <c r="AJ88" s="59">
        <v>56</v>
      </c>
      <c r="AK88" s="60">
        <f>MIN(B$121:B$130)+(MAX(B$121:B$130)-MIN(B$121:B$130))*AJ88/100</f>
        <v>0.56</v>
      </c>
      <c r="AL88" s="61">
        <f>fpoly(B$113,AK88,E$121:E$130)</f>
        <v>0.695622729967145</v>
      </c>
    </row>
    <row r="89" spans="2:38" ht="12.75" thickBot="1">
      <c r="B89" s="22" t="s">
        <v>2</v>
      </c>
      <c r="C89" s="22" t="s">
        <v>3</v>
      </c>
      <c r="AJ89" s="59">
        <v>57</v>
      </c>
      <c r="AK89" s="60">
        <f>MIN(B$121:B$130)+(MAX(B$121:B$130)-MIN(B$121:B$130))*AJ89/100</f>
        <v>0.57</v>
      </c>
      <c r="AL89" s="61">
        <f>fpoly(B$113,AK89,E$121:E$130)</f>
        <v>0.6845811372684598</v>
      </c>
    </row>
    <row r="90" spans="2:38" ht="13.5" thickBot="1" thickTop="1">
      <c r="B90" s="1">
        <v>150</v>
      </c>
      <c r="C90" s="31">
        <f>$B$84*LN(B90)+$B$85</f>
        <v>88.31860397567766</v>
      </c>
      <c r="AJ90" s="59">
        <v>58</v>
      </c>
      <c r="AK90" s="60">
        <f>MIN(B$121:B$130)+(MAX(B$121:B$130)-MIN(B$121:B$130))*AJ90/100</f>
        <v>0.58</v>
      </c>
      <c r="AL90" s="61">
        <f>fpoly(B$113,AK90,E$121:E$130)</f>
        <v>0.673510985198765</v>
      </c>
    </row>
    <row r="91" spans="36:38" ht="12.75" thickTop="1">
      <c r="AJ91" s="59">
        <v>59</v>
      </c>
      <c r="AK91" s="60">
        <f>MIN(B$121:B$130)+(MAX(B$121:B$130)-MIN(B$121:B$130))*AJ91/100</f>
        <v>0.59</v>
      </c>
      <c r="AL91" s="61">
        <f>fpoly(B$113,AK91,E$121:E$130)</f>
        <v>0.6624206654378738</v>
      </c>
    </row>
    <row r="92" spans="36:38" ht="12">
      <c r="AJ92" s="59">
        <v>60</v>
      </c>
      <c r="AK92" s="60">
        <f>MIN(B$121:B$130)+(MAX(B$121:B$130)-MIN(B$121:B$130))*AJ92/100</f>
        <v>0.6</v>
      </c>
      <c r="AL92" s="61">
        <f>fpoly(B$113,AK92,E$121:E$130)</f>
        <v>0.6513185489296001</v>
      </c>
    </row>
    <row r="93" spans="36:38" ht="12">
      <c r="AJ93" s="59">
        <v>61</v>
      </c>
      <c r="AK93" s="60">
        <f>MIN(B$121:B$130)+(MAX(B$121:B$130)-MIN(B$121:B$130))*AJ93/100</f>
        <v>0.61</v>
      </c>
      <c r="AL93" s="61">
        <f>fpoly(B$113,AK93,E$121:E$130)</f>
        <v>0.6402129858817586</v>
      </c>
    </row>
    <row r="94" spans="1:38" ht="12">
      <c r="A94" s="32" t="s">
        <v>10</v>
      </c>
      <c r="AJ94" s="59">
        <v>62</v>
      </c>
      <c r="AK94" s="60">
        <f>MIN(B$121:B$130)+(MAX(B$121:B$130)-MIN(B$121:B$130))*AJ94/100</f>
        <v>0.62</v>
      </c>
      <c r="AL94" s="61">
        <f>fpoly(B$113,AK94,E$121:E$130)</f>
        <v>0.6291123057661632</v>
      </c>
    </row>
    <row r="95" spans="36:38" ht="12">
      <c r="AJ95" s="59">
        <v>63</v>
      </c>
      <c r="AK95" s="60">
        <f>MIN(B$121:B$130)+(MAX(B$121:B$130)-MIN(B$121:B$130))*AJ95/100</f>
        <v>0.63</v>
      </c>
      <c r="AL95" s="61">
        <f>fpoly(B$113,AK95,E$121:E$130)</f>
        <v>0.6180248173186296</v>
      </c>
    </row>
    <row r="96" spans="1:38" ht="12.75" thickBot="1">
      <c r="A96" s="22" t="s">
        <v>6</v>
      </c>
      <c r="B96" s="22" t="s">
        <v>2</v>
      </c>
      <c r="C96" s="22" t="s">
        <v>3</v>
      </c>
      <c r="G96" s="22" t="s">
        <v>2</v>
      </c>
      <c r="H96" s="22" t="s">
        <v>3</v>
      </c>
      <c r="AJ96" s="59">
        <v>64</v>
      </c>
      <c r="AK96" s="60">
        <f>MIN(B$121:B$130)+(MAX(B$121:B$130)-MIN(B$121:B$130))*AJ96/100</f>
        <v>0.64</v>
      </c>
      <c r="AL96" s="61">
        <f>fpoly(B$113,AK96,E$121:E$130)</f>
        <v>0.606958808538972</v>
      </c>
    </row>
    <row r="97" spans="1:38" ht="12.75" thickTop="1">
      <c r="A97" s="23">
        <v>0</v>
      </c>
      <c r="B97" s="2">
        <v>0.135</v>
      </c>
      <c r="C97" s="3">
        <v>2.362</v>
      </c>
      <c r="G97" s="22">
        <f aca="true" t="shared" si="4" ref="G97:G102">G$103+(G$104-G$103)/5*I97</f>
        <v>0.135</v>
      </c>
      <c r="H97" s="22">
        <f aca="true" t="shared" si="5" ref="H97:H102">$B$102+$B$103/(G97+$B$104)</f>
        <v>2.362</v>
      </c>
      <c r="I97" s="22">
        <v>0</v>
      </c>
      <c r="AJ97" s="59">
        <v>65</v>
      </c>
      <c r="AK97" s="60">
        <f>MIN(B$121:B$130)+(MAX(B$121:B$130)-MIN(B$121:B$130))*AJ97/100</f>
        <v>0.65</v>
      </c>
      <c r="AL97" s="61">
        <f>fpoly(B$113,AK97,E$121:E$130)</f>
        <v>0.5959225466910061</v>
      </c>
    </row>
    <row r="98" spans="1:38" ht="12">
      <c r="A98" s="23">
        <v>1</v>
      </c>
      <c r="B98" s="4">
        <v>0.957</v>
      </c>
      <c r="C98" s="5">
        <v>1.749</v>
      </c>
      <c r="G98" s="22">
        <f t="shared" si="4"/>
        <v>0.4072</v>
      </c>
      <c r="H98" s="22">
        <f t="shared" si="5"/>
        <v>1.9344935161242358</v>
      </c>
      <c r="I98" s="22">
        <v>1</v>
      </c>
      <c r="AJ98" s="59">
        <v>66</v>
      </c>
      <c r="AK98" s="60">
        <f>MIN(B$121:B$130)+(MAX(B$121:B$130)-MIN(B$121:B$130))*AJ98/100</f>
        <v>0.66</v>
      </c>
      <c r="AL98" s="61">
        <f>fpoly(B$113,AK98,E$121:E$130)</f>
        <v>0.5849242783025475</v>
      </c>
    </row>
    <row r="99" spans="1:38" ht="12.75" thickBot="1">
      <c r="A99" s="23">
        <v>2</v>
      </c>
      <c r="B99" s="6">
        <v>1.496</v>
      </c>
      <c r="C99" s="7">
        <v>1.692</v>
      </c>
      <c r="G99" s="22">
        <f t="shared" si="4"/>
        <v>0.6794</v>
      </c>
      <c r="H99" s="22">
        <f t="shared" si="5"/>
        <v>1.809518543105858</v>
      </c>
      <c r="I99" s="22">
        <v>2</v>
      </c>
      <c r="AJ99" s="59">
        <v>67</v>
      </c>
      <c r="AK99" s="60">
        <f>MIN(B$121:B$130)+(MAX(B$121:B$130)-MIN(B$121:B$130))*AJ99/100</f>
        <v>0.67</v>
      </c>
      <c r="AL99" s="61">
        <f>fpoly(B$113,AK99,E$121:E$130)</f>
        <v>0.573972229165411</v>
      </c>
    </row>
    <row r="100" spans="1:38" ht="12.75" thickTop="1">
      <c r="A100" s="23"/>
      <c r="B100" s="22" t="s">
        <v>29</v>
      </c>
      <c r="G100" s="22">
        <f t="shared" si="4"/>
        <v>0.9516</v>
      </c>
      <c r="H100" s="22">
        <f t="shared" si="5"/>
        <v>1.7498695564410205</v>
      </c>
      <c r="I100" s="22">
        <v>3</v>
      </c>
      <c r="AJ100" s="59">
        <v>68</v>
      </c>
      <c r="AK100" s="60">
        <f>MIN(B$121:B$130)+(MAX(B$121:B$130)-MIN(B$121:B$130))*AJ100/100</f>
        <v>0.68</v>
      </c>
      <c r="AL100" s="61">
        <f>fpoly(B$113,AK100,E$121:E$130)</f>
        <v>0.5630746043354137</v>
      </c>
    </row>
    <row r="101" spans="1:38" ht="13.5">
      <c r="A101" s="74" t="s">
        <v>11</v>
      </c>
      <c r="B101" s="31">
        <f>(C97-C98)*(B99-B97)/(C97-C99)/(B98-B97)</f>
        <v>1.5148581907978353</v>
      </c>
      <c r="C101" s="28" t="s">
        <v>28</v>
      </c>
      <c r="G101" s="22">
        <f t="shared" si="4"/>
        <v>1.2238</v>
      </c>
      <c r="H101" s="22">
        <f t="shared" si="5"/>
        <v>1.714939417544403</v>
      </c>
      <c r="I101" s="22">
        <v>4</v>
      </c>
      <c r="AJ101" s="59">
        <v>69</v>
      </c>
      <c r="AK101" s="60">
        <f>MIN(B$121:B$130)+(MAX(B$121:B$130)-MIN(B$121:B$130))*AJ101/100</f>
        <v>0.69</v>
      </c>
      <c r="AL101" s="61">
        <f>fpoly(B$113,AK101,E$121:E$130)</f>
        <v>0.5522395881323712</v>
      </c>
    </row>
    <row r="102" spans="1:38" ht="13.5">
      <c r="A102" s="23" t="s">
        <v>0</v>
      </c>
      <c r="B102" s="31">
        <f>C97-B103/(B97+B104)</f>
        <v>1.581289903474835</v>
      </c>
      <c r="C102" s="28" t="s">
        <v>26</v>
      </c>
      <c r="G102" s="22">
        <f t="shared" si="4"/>
        <v>1.496</v>
      </c>
      <c r="H102" s="22">
        <f t="shared" si="5"/>
        <v>1.6919999999999997</v>
      </c>
      <c r="I102" s="22">
        <v>5</v>
      </c>
      <c r="AJ102" s="59">
        <v>70</v>
      </c>
      <c r="AK102" s="60">
        <f>MIN(B$121:B$130)+(MAX(B$121:B$130)-MIN(B$121:B$130))*AJ102/100</f>
        <v>0.7</v>
      </c>
      <c r="AL102" s="61">
        <f>fpoly(B$113,AK102,E$121:E$130)</f>
        <v>0.5414753441401</v>
      </c>
    </row>
    <row r="103" spans="1:38" ht="13.5">
      <c r="A103" s="23" t="s">
        <v>1</v>
      </c>
      <c r="B103" s="31">
        <f>(C97-C98)/(1/(B97+B104)-1/(B98+B104))</f>
        <v>0.17557405833824805</v>
      </c>
      <c r="C103" s="28" t="s">
        <v>27</v>
      </c>
      <c r="G103" s="22">
        <f>MIN(B97:B99)</f>
        <v>0.135</v>
      </c>
      <c r="H103" s="22">
        <f>MIN(C97:C99)</f>
        <v>1.692</v>
      </c>
      <c r="AJ103" s="59">
        <v>71</v>
      </c>
      <c r="AK103" s="60">
        <f>MIN(B$121:B$130)+(MAX(B$121:B$130)-MIN(B$121:B$130))*AJ103/100</f>
        <v>0.71</v>
      </c>
      <c r="AL103" s="61">
        <f>fpoly(B$113,AK103,E$121:E$130)</f>
        <v>0.5307900152064167</v>
      </c>
    </row>
    <row r="104" spans="1:38" ht="13.5">
      <c r="A104" s="23" t="s">
        <v>12</v>
      </c>
      <c r="B104" s="31">
        <f>(B99-B101*B98)/(B101-1)</f>
        <v>0.08989021100111862</v>
      </c>
      <c r="C104" s="28" t="s">
        <v>24</v>
      </c>
      <c r="G104" s="22">
        <f>MAX(B97:B99)</f>
        <v>1.496</v>
      </c>
      <c r="H104" s="22">
        <f>MAX(C97:C99)</f>
        <v>2.362</v>
      </c>
      <c r="AJ104" s="59">
        <v>72</v>
      </c>
      <c r="AK104" s="60">
        <f>MIN(B$121:B$130)+(MAX(B$121:B$130)-MIN(B$121:B$130))*AJ104/100</f>
        <v>0.72</v>
      </c>
      <c r="AL104" s="61">
        <f>fpoly(B$113,AK104,E$121:E$130)</f>
        <v>0.5201917234431386</v>
      </c>
    </row>
    <row r="105" spans="36:38" ht="12">
      <c r="AJ105" s="59">
        <v>73</v>
      </c>
      <c r="AK105" s="60">
        <f>MIN(B$121:B$130)+(MAX(B$121:B$130)-MIN(B$121:B$130))*AJ105/100</f>
        <v>0.73</v>
      </c>
      <c r="AL105" s="61">
        <f>fpoly(B$113,AK105,E$121:E$130)</f>
        <v>0.5096885702260825</v>
      </c>
    </row>
    <row r="106" spans="2:38" ht="12">
      <c r="B106" s="22" t="s">
        <v>5</v>
      </c>
      <c r="AJ106" s="59">
        <v>74</v>
      </c>
      <c r="AK106" s="60">
        <f>MIN(B$121:B$130)+(MAX(B$121:B$130)-MIN(B$121:B$130))*AJ106/100</f>
        <v>0.74</v>
      </c>
      <c r="AL106" s="61">
        <f>fpoly(B$113,AK106,E$121:E$130)</f>
        <v>0.49928863619506564</v>
      </c>
    </row>
    <row r="107" spans="2:38" ht="12.75" thickBot="1">
      <c r="B107" s="22" t="s">
        <v>2</v>
      </c>
      <c r="C107" s="22" t="s">
        <v>3</v>
      </c>
      <c r="AJ107" s="59">
        <v>75</v>
      </c>
      <c r="AK107" s="60">
        <f>MIN(B$121:B$130)+(MAX(B$121:B$130)-MIN(B$121:B$130))*AJ107/100</f>
        <v>0.75</v>
      </c>
      <c r="AL107" s="61">
        <f>fpoly(B$113,AK107,E$121:E$130)</f>
        <v>0.4889999812539063</v>
      </c>
    </row>
    <row r="108" spans="2:38" ht="13.5" thickBot="1" thickTop="1">
      <c r="B108" s="1">
        <v>0.239</v>
      </c>
      <c r="C108" s="31">
        <f>$B$102+$B$103/(B108+$B$104)</f>
        <v>2.1151277997254194</v>
      </c>
      <c r="AJ108" s="59">
        <v>76</v>
      </c>
      <c r="AK108" s="60">
        <f>MIN(B$121:B$130)+(MAX(B$121:B$130)-MIN(B$121:B$130))*AJ108/100</f>
        <v>0.76</v>
      </c>
      <c r="AL108" s="61">
        <f>fpoly(B$113,AK108,E$121:E$130)</f>
        <v>0.4788306445704217</v>
      </c>
    </row>
    <row r="109" spans="1:38" ht="12.75" thickTop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J109" s="59">
        <v>77</v>
      </c>
      <c r="AK109" s="60">
        <f>MIN(B$121:B$130)+(MAX(B$121:B$130)-MIN(B$121:B$130))*AJ109/100</f>
        <v>0.77</v>
      </c>
      <c r="AL109" s="61">
        <f>fpoly(B$113,AK109,E$121:E$130)</f>
        <v>0.4687886445764304</v>
      </c>
    </row>
    <row r="110" spans="36:38" s="35" customFormat="1" ht="12">
      <c r="AJ110" s="59">
        <v>78</v>
      </c>
      <c r="AK110" s="60">
        <f>MIN(B$121:B$130)+(MAX(B$121:B$130)-MIN(B$121:B$130))*AJ110/100</f>
        <v>0.78</v>
      </c>
      <c r="AL110" s="61">
        <f>fpoly(B$113,AK110,E$121:E$130)</f>
        <v>0.45888197896775035</v>
      </c>
    </row>
    <row r="111" spans="1:38" s="35" customFormat="1" ht="12">
      <c r="A111" s="36" t="s">
        <v>57</v>
      </c>
      <c r="B111" s="37"/>
      <c r="C111" s="37"/>
      <c r="D111" s="37"/>
      <c r="E111" s="37"/>
      <c r="F111" s="22"/>
      <c r="G111" s="37"/>
      <c r="H111" s="38" t="s">
        <v>44</v>
      </c>
      <c r="I111" s="37"/>
      <c r="AJ111" s="59">
        <v>79</v>
      </c>
      <c r="AK111" s="60">
        <f>MIN(B$121:B$130)+(MAX(B$121:B$130)-MIN(B$121:B$130))*AJ111/100</f>
        <v>0.79</v>
      </c>
      <c r="AL111" s="61">
        <f>fpoly(B$113,AK111,E$121:E$130)</f>
        <v>0.4491186247042006</v>
      </c>
    </row>
    <row r="112" spans="1:38" s="35" customFormat="1" ht="12.75" thickBot="1">
      <c r="A112" s="37"/>
      <c r="B112" s="37"/>
      <c r="C112" s="37"/>
      <c r="D112" s="37"/>
      <c r="E112" s="37"/>
      <c r="F112" s="22"/>
      <c r="G112" s="22"/>
      <c r="H112" s="39" t="s">
        <v>45</v>
      </c>
      <c r="I112" s="37"/>
      <c r="AJ112" s="59">
        <v>80</v>
      </c>
      <c r="AK112" s="60">
        <f>MIN(B$121:B$130)+(MAX(B$121:B$130)-MIN(B$121:B$130))*AJ112/100</f>
        <v>0.8</v>
      </c>
      <c r="AL112" s="61">
        <f>fpoly(B$113,AK112,E$121:E$130)</f>
        <v>0.43950653800959977</v>
      </c>
    </row>
    <row r="113" spans="1:38" s="35" customFormat="1" ht="13.5" thickBot="1" thickTop="1">
      <c r="A113" s="47" t="s">
        <v>33</v>
      </c>
      <c r="B113" s="11">
        <v>5</v>
      </c>
      <c r="C113" s="37" t="s">
        <v>34</v>
      </c>
      <c r="D113" s="37"/>
      <c r="E113" s="37"/>
      <c r="F113" s="22"/>
      <c r="G113" s="22"/>
      <c r="H113" s="41" t="s">
        <v>35</v>
      </c>
      <c r="I113" s="37"/>
      <c r="AJ113" s="59">
        <v>81</v>
      </c>
      <c r="AK113" s="60">
        <f>MIN(B$121:B$130)+(MAX(B$121:B$130)-MIN(B$121:B$130))*AJ113/100</f>
        <v>0.81</v>
      </c>
      <c r="AL113" s="61">
        <f>fpoly(B$113,AK113,E$121:E$130)</f>
        <v>0.43005365437176685</v>
      </c>
    </row>
    <row r="114" spans="1:38" s="35" customFormat="1" ht="12.75" thickTop="1">
      <c r="A114" s="37"/>
      <c r="B114" s="37"/>
      <c r="C114" s="37"/>
      <c r="D114" s="37"/>
      <c r="E114" s="37"/>
      <c r="F114" s="22"/>
      <c r="G114" s="22"/>
      <c r="H114" s="42" t="s">
        <v>36</v>
      </c>
      <c r="I114" s="37"/>
      <c r="AJ114" s="59">
        <v>82</v>
      </c>
      <c r="AK114" s="60">
        <f>MIN(B$121:B$130)+(MAX(B$121:B$130)-MIN(B$121:B$130))*AJ114/100</f>
        <v>0.82</v>
      </c>
      <c r="AL114" s="61">
        <f>fpoly(B$113,AK114,E$121:E$130)</f>
        <v>0.4207678885425218</v>
      </c>
    </row>
    <row r="115" spans="1:38" s="35" customFormat="1" ht="12">
      <c r="A115" s="37" t="s">
        <v>42</v>
      </c>
      <c r="B115" s="37"/>
      <c r="C115" s="37"/>
      <c r="D115" s="43"/>
      <c r="E115" s="37"/>
      <c r="F115" s="37"/>
      <c r="G115" s="22"/>
      <c r="H115" s="37"/>
      <c r="I115" s="37"/>
      <c r="AJ115" s="59">
        <v>83</v>
      </c>
      <c r="AK115" s="60">
        <f>MIN(B$121:B$130)+(MAX(B$121:B$130)-MIN(B$121:B$130))*AJ115/100</f>
        <v>0.83</v>
      </c>
      <c r="AL115" s="61">
        <f>fpoly(B$113,AK115,E$121:E$130)</f>
        <v>0.41165713453768316</v>
      </c>
    </row>
    <row r="116" spans="1:38" s="35" customFormat="1" ht="12">
      <c r="A116" s="43" t="str">
        <f>poly(B121:B130,C121:C130,B113)</f>
        <v> 100000000 1 485966666 0-270580000 1 159733333 1-863999999-1</v>
      </c>
      <c r="B116" s="37"/>
      <c r="C116" s="37"/>
      <c r="D116" s="43"/>
      <c r="E116" s="37"/>
      <c r="F116" s="37"/>
      <c r="G116" s="37"/>
      <c r="H116" s="37"/>
      <c r="I116" s="37"/>
      <c r="AJ116" s="59">
        <v>84</v>
      </c>
      <c r="AK116" s="60">
        <f>MIN(B$121:B$130)+(MAX(B$121:B$130)-MIN(B$121:B$130))*AJ116/100</f>
        <v>0.84</v>
      </c>
      <c r="AL116" s="61">
        <f>fpoly(B$113,AK116,E$121:E$130)</f>
        <v>0.40272926563707145</v>
      </c>
    </row>
    <row r="117" spans="1:38" s="35" customFormat="1" ht="12">
      <c r="A117" s="43" t="s">
        <v>43</v>
      </c>
      <c r="B117" s="37"/>
      <c r="C117" s="37"/>
      <c r="D117" s="43"/>
      <c r="E117" s="37"/>
      <c r="F117" s="37"/>
      <c r="G117" s="37"/>
      <c r="H117" s="37"/>
      <c r="I117" s="37"/>
      <c r="AJ117" s="59">
        <v>85</v>
      </c>
      <c r="AK117" s="60">
        <f>MIN(B$121:B$130)+(MAX(B$121:B$130)-MIN(B$121:B$130))*AJ117/100</f>
        <v>0.85</v>
      </c>
      <c r="AL117" s="61">
        <f>fpoly(B$113,AK117,E$121:E$130)</f>
        <v>0.3939921343845063</v>
      </c>
    </row>
    <row r="118" spans="1:38" s="35" customFormat="1" ht="12">
      <c r="A118" s="43"/>
      <c r="B118" s="37"/>
      <c r="C118" s="37"/>
      <c r="D118" s="43"/>
      <c r="E118" s="37"/>
      <c r="F118" s="37"/>
      <c r="G118" s="37"/>
      <c r="H118" s="37"/>
      <c r="I118" s="37"/>
      <c r="AJ118" s="59">
        <v>86</v>
      </c>
      <c r="AK118" s="60">
        <f>MIN(B$121:B$130)+(MAX(B$121:B$130)-MIN(B$121:B$130))*AJ118/100</f>
        <v>0.86</v>
      </c>
      <c r="AL118" s="61">
        <f>fpoly(B$113,AK118,E$121:E$130)</f>
        <v>0.38545357258780844</v>
      </c>
    </row>
    <row r="119" spans="1:38" s="35" customFormat="1" ht="13.5">
      <c r="A119" s="22"/>
      <c r="B119" s="44" t="s">
        <v>38</v>
      </c>
      <c r="C119" s="45" t="s">
        <v>39</v>
      </c>
      <c r="D119" s="37"/>
      <c r="E119" s="55" t="s">
        <v>37</v>
      </c>
      <c r="F119" s="37"/>
      <c r="G119" s="37"/>
      <c r="H119" s="37"/>
      <c r="I119" s="37"/>
      <c r="AJ119" s="59">
        <v>87</v>
      </c>
      <c r="AK119" s="60">
        <f>MIN(B$121:B$130)+(MAX(B$121:B$130)-MIN(B$121:B$130))*AJ119/100</f>
        <v>0.87</v>
      </c>
      <c r="AL119" s="61">
        <f>fpoly(B$113,AK119,E$121:E$130)</f>
        <v>0.3771213913187974</v>
      </c>
    </row>
    <row r="120" spans="1:38" s="35" customFormat="1" ht="12.75" thickBot="1">
      <c r="A120" s="22"/>
      <c r="B120" s="46"/>
      <c r="C120" s="41" t="s">
        <v>3</v>
      </c>
      <c r="D120" s="37"/>
      <c r="E120" s="42" t="s">
        <v>0</v>
      </c>
      <c r="F120" s="22"/>
      <c r="G120" s="22"/>
      <c r="H120" s="37"/>
      <c r="I120" s="37"/>
      <c r="AJ120" s="59">
        <v>88</v>
      </c>
      <c r="AK120" s="60">
        <f>MIN(B$121:B$130)+(MAX(B$121:B$130)-MIN(B$121:B$130))*AJ120/100</f>
        <v>0.88</v>
      </c>
      <c r="AL120" s="61">
        <f>fpoly(B$113,AK120,E$121:E$130)</f>
        <v>0.3690033809132951</v>
      </c>
    </row>
    <row r="121" spans="1:38" s="35" customFormat="1" ht="14.25" thickTop="1">
      <c r="A121" s="23">
        <f>IF(F121&lt;B$113+1,F121,"")</f>
        <v>1</v>
      </c>
      <c r="B121" s="12">
        <v>0</v>
      </c>
      <c r="C121" s="84">
        <v>1</v>
      </c>
      <c r="D121" s="47" t="s">
        <v>46</v>
      </c>
      <c r="E121" s="48">
        <f aca="true" t="shared" si="6" ref="E121:E130">IF(F121&gt;B$113,"",macf(A$116,F121))</f>
        <v>1</v>
      </c>
      <c r="F121" s="47">
        <v>1</v>
      </c>
      <c r="G121" s="40">
        <f aca="true" t="shared" si="7" ref="G121:G130">IF(F121&gt;B$113,0,E121*A$134^(F121-1))</f>
        <v>1</v>
      </c>
      <c r="H121" s="37"/>
      <c r="AJ121" s="59">
        <v>89</v>
      </c>
      <c r="AK121" s="60">
        <f>MIN(B$121:B$130)+(MAX(B$121:B$130)-MIN(B$121:B$130))*AJ121/100</f>
        <v>0.89</v>
      </c>
      <c r="AL121" s="61">
        <f>fpoly(B$113,AK121,E$121:E$130)</f>
        <v>0.36110731097112225</v>
      </c>
    </row>
    <row r="122" spans="1:38" s="35" customFormat="1" ht="13.5">
      <c r="A122" s="23">
        <f aca="true" t="shared" si="8" ref="A122:A130">IF(F122&lt;B$113+1,F122,"")</f>
        <v>2</v>
      </c>
      <c r="B122" s="13">
        <v>0.25</v>
      </c>
      <c r="C122" s="85">
        <v>0.977</v>
      </c>
      <c r="D122" s="47" t="s">
        <v>47</v>
      </c>
      <c r="E122" s="49">
        <f t="shared" si="6"/>
        <v>0.48596666</v>
      </c>
      <c r="F122" s="47">
        <v>2</v>
      </c>
      <c r="G122" s="40">
        <f t="shared" si="7"/>
        <v>0.34017666199999996</v>
      </c>
      <c r="H122" s="37"/>
      <c r="AJ122" s="59">
        <v>90</v>
      </c>
      <c r="AK122" s="60">
        <f>MIN(B$121:B$130)+(MAX(B$121:B$130)-MIN(B$121:B$130))*AJ122/100</f>
        <v>0.9</v>
      </c>
      <c r="AL122" s="61">
        <f>fpoly(B$113,AK122,E$121:E$130)</f>
        <v>0.35344093035609997</v>
      </c>
    </row>
    <row r="123" spans="1:38" s="35" customFormat="1" ht="13.5">
      <c r="A123" s="23">
        <f t="shared" si="8"/>
        <v>3</v>
      </c>
      <c r="B123" s="13">
        <v>0.5</v>
      </c>
      <c r="C123" s="85">
        <v>0.7608</v>
      </c>
      <c r="D123" s="47" t="s">
        <v>48</v>
      </c>
      <c r="E123" s="49">
        <f t="shared" si="6"/>
        <v>-2.7058</v>
      </c>
      <c r="F123" s="47">
        <v>3</v>
      </c>
      <c r="G123" s="40">
        <f t="shared" si="7"/>
        <v>-1.3258419999999997</v>
      </c>
      <c r="H123" s="37"/>
      <c r="AJ123" s="59">
        <v>91</v>
      </c>
      <c r="AK123" s="60">
        <f>MIN(B$121:B$130)+(MAX(B$121:B$130)-MIN(B$121:B$130))*AJ123/100</f>
        <v>0.91</v>
      </c>
      <c r="AL123" s="61">
        <f>fpoly(B$113,AK123,E$121:E$130)</f>
        <v>0.34601196719604943</v>
      </c>
    </row>
    <row r="124" spans="1:38" s="35" customFormat="1" ht="13.5">
      <c r="A124" s="23">
        <f t="shared" si="8"/>
        <v>4</v>
      </c>
      <c r="B124" s="13">
        <v>0.75</v>
      </c>
      <c r="C124" s="86">
        <v>0.489</v>
      </c>
      <c r="D124" s="47" t="s">
        <v>49</v>
      </c>
      <c r="E124" s="49">
        <f t="shared" si="6"/>
        <v>1.5973332999999998</v>
      </c>
      <c r="F124" s="47">
        <v>4</v>
      </c>
      <c r="G124" s="40">
        <f t="shared" si="7"/>
        <v>0.5478853218999998</v>
      </c>
      <c r="H124" s="37"/>
      <c r="AJ124" s="59">
        <v>92</v>
      </c>
      <c r="AK124" s="60">
        <f>MIN(B$121:B$130)+(MAX(B$121:B$130)-MIN(B$121:B$130))*AJ124/100</f>
        <v>0.92</v>
      </c>
      <c r="AL124" s="61">
        <f>fpoly(B$113,AK124,E$121:E$130)</f>
        <v>0.3388281288827929</v>
      </c>
    </row>
    <row r="125" spans="1:38" s="35" customFormat="1" ht="13.5">
      <c r="A125" s="23">
        <f t="shared" si="8"/>
        <v>5</v>
      </c>
      <c r="B125" s="13">
        <v>1</v>
      </c>
      <c r="C125" s="71">
        <v>0.2911</v>
      </c>
      <c r="D125" s="47" t="s">
        <v>50</v>
      </c>
      <c r="E125" s="49">
        <f t="shared" si="6"/>
        <v>-0.086399999</v>
      </c>
      <c r="F125" s="47">
        <v>5</v>
      </c>
      <c r="G125" s="40">
        <f t="shared" si="7"/>
        <v>-0.020744639759899996</v>
      </c>
      <c r="H125" s="37"/>
      <c r="AJ125" s="59">
        <v>93</v>
      </c>
      <c r="AK125" s="60">
        <f>MIN(B$121:B$130)+(MAX(B$121:B$130)-MIN(B$121:B$130))*AJ125/100</f>
        <v>0.93</v>
      </c>
      <c r="AL125" s="61">
        <f>fpoly(B$113,AK125,E$121:E$130)</f>
        <v>0.331897102072152</v>
      </c>
    </row>
    <row r="126" spans="1:38" s="35" customFormat="1" ht="13.5">
      <c r="A126" s="23">
        <f t="shared" si="8"/>
      </c>
      <c r="B126" s="13"/>
      <c r="C126" s="14"/>
      <c r="D126" s="47" t="s">
        <v>51</v>
      </c>
      <c r="E126" s="49">
        <f t="shared" si="6"/>
      </c>
      <c r="F126" s="47">
        <v>6</v>
      </c>
      <c r="G126" s="40">
        <f t="shared" si="7"/>
        <v>0</v>
      </c>
      <c r="H126" s="37"/>
      <c r="AJ126" s="59">
        <v>94</v>
      </c>
      <c r="AK126" s="60">
        <f>MIN(B$121:B$130)+(MAX(B$121:B$130)-MIN(B$121:B$130))*AJ126/100</f>
        <v>0.94</v>
      </c>
      <c r="AL126" s="61">
        <f>fpoly(B$113,AK126,E$121:E$130)</f>
        <v>0.32522655268394857</v>
      </c>
    </row>
    <row r="127" spans="1:38" s="35" customFormat="1" ht="13.5">
      <c r="A127" s="22">
        <f t="shared" si="8"/>
      </c>
      <c r="B127" s="13"/>
      <c r="C127" s="14"/>
      <c r="D127" s="47" t="s">
        <v>52</v>
      </c>
      <c r="E127" s="49">
        <f t="shared" si="6"/>
      </c>
      <c r="F127" s="47">
        <v>7</v>
      </c>
      <c r="G127" s="40">
        <f t="shared" si="7"/>
        <v>0</v>
      </c>
      <c r="H127" s="37"/>
      <c r="AJ127" s="59">
        <v>95</v>
      </c>
      <c r="AK127" s="60">
        <f>MIN(B$121:B$130)+(MAX(B$121:B$130)-MIN(B$121:B$130))*AJ127/100</f>
        <v>0.95</v>
      </c>
      <c r="AL127" s="61">
        <f>fpoly(B$113,AK127,E$121:E$130)</f>
        <v>0.31882412590200615</v>
      </c>
    </row>
    <row r="128" spans="1:38" s="35" customFormat="1" ht="13.5">
      <c r="A128" s="22">
        <f t="shared" si="8"/>
      </c>
      <c r="B128" s="13"/>
      <c r="C128" s="14"/>
      <c r="D128" s="47" t="s">
        <v>53</v>
      </c>
      <c r="E128" s="49">
        <f t="shared" si="6"/>
      </c>
      <c r="F128" s="47">
        <v>8</v>
      </c>
      <c r="G128" s="40">
        <f t="shared" si="7"/>
        <v>0</v>
      </c>
      <c r="H128" s="37"/>
      <c r="AJ128" s="59">
        <v>96</v>
      </c>
      <c r="AK128" s="60">
        <f>MIN(B$121:B$130)+(MAX(B$121:B$130)-MIN(B$121:B$130))*AJ128/100</f>
        <v>0.96</v>
      </c>
      <c r="AL128" s="61">
        <f>fpoly(B$113,AK128,E$121:E$130)</f>
        <v>0.31269744617414597</v>
      </c>
    </row>
    <row r="129" spans="1:38" s="35" customFormat="1" ht="13.5">
      <c r="A129" s="22">
        <f t="shared" si="8"/>
      </c>
      <c r="B129" s="15"/>
      <c r="C129" s="16"/>
      <c r="D129" s="47" t="s">
        <v>54</v>
      </c>
      <c r="E129" s="49">
        <f t="shared" si="6"/>
      </c>
      <c r="F129" s="47">
        <v>9</v>
      </c>
      <c r="G129" s="40">
        <f t="shared" si="7"/>
        <v>0</v>
      </c>
      <c r="H129" s="37"/>
      <c r="AJ129" s="59">
        <v>97</v>
      </c>
      <c r="AK129" s="60">
        <f>MIN(B$121:B$130)+(MAX(B$121:B$130)-MIN(B$121:B$130))*AJ129/100</f>
        <v>0.97</v>
      </c>
      <c r="AL129" s="61">
        <f>fpoly(B$113,AK129,E$121:E$130)</f>
        <v>0.3068541172121927</v>
      </c>
    </row>
    <row r="130" spans="1:38" s="35" customFormat="1" ht="14.25" thickBot="1">
      <c r="A130" s="22">
        <f t="shared" si="8"/>
      </c>
      <c r="B130" s="17"/>
      <c r="C130" s="18"/>
      <c r="D130" s="47" t="s">
        <v>55</v>
      </c>
      <c r="E130" s="50">
        <f t="shared" si="6"/>
      </c>
      <c r="F130" s="47">
        <v>10</v>
      </c>
      <c r="G130" s="40">
        <f t="shared" si="7"/>
        <v>0</v>
      </c>
      <c r="H130" s="37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J130" s="59">
        <v>98</v>
      </c>
      <c r="AK130" s="60">
        <f>MIN(B$121:B$130)+(MAX(B$121:B$130)-MIN(B$121:B$130))*AJ130/100</f>
        <v>0.98</v>
      </c>
      <c r="AL130" s="61">
        <f>fpoly(B$113,AK130,E$121:E$130)</f>
        <v>0.30130172199196803</v>
      </c>
    </row>
    <row r="131" spans="1:38" ht="12.75" thickTop="1">
      <c r="A131" s="40"/>
      <c r="B131" s="40"/>
      <c r="C131" s="37"/>
      <c r="D131" s="37"/>
      <c r="E131" s="37"/>
      <c r="F131" s="37"/>
      <c r="G131" s="37"/>
      <c r="H131" s="37"/>
      <c r="AJ131" s="59">
        <v>99</v>
      </c>
      <c r="AK131" s="60">
        <f>MIN(B$121:B$130)+(MAX(B$121:B$130)-MIN(B$121:B$130))*AJ131/100</f>
        <v>0.99</v>
      </c>
      <c r="AL131" s="61">
        <f>fpoly(B$113,AK131,E$121:E$130)</f>
        <v>0.29604782275329605</v>
      </c>
    </row>
    <row r="132" spans="1:38" ht="14.25">
      <c r="A132" s="37" t="s">
        <v>40</v>
      </c>
      <c r="B132" s="37"/>
      <c r="C132" s="37"/>
      <c r="D132" s="37" t="s">
        <v>56</v>
      </c>
      <c r="E132" s="37"/>
      <c r="F132" s="37"/>
      <c r="G132" s="37"/>
      <c r="H132" s="37"/>
      <c r="AJ132" s="62">
        <v>100</v>
      </c>
      <c r="AK132" s="63">
        <f>MIN(B$121:B$130)+(MAX(B$121:B$130)-MIN(B$121:B$130))*AJ132/100</f>
        <v>1</v>
      </c>
      <c r="AL132" s="64">
        <f>fpoly(B$113,AK132,E$121:E$130)</f>
        <v>0.29109996099999974</v>
      </c>
    </row>
    <row r="133" spans="1:8" ht="12.75" thickBot="1">
      <c r="A133" s="40" t="s">
        <v>2</v>
      </c>
      <c r="B133" s="40" t="s">
        <v>41</v>
      </c>
      <c r="C133" s="37"/>
      <c r="D133" s="37"/>
      <c r="E133" s="37"/>
      <c r="F133" s="37"/>
      <c r="G133" s="37"/>
      <c r="H133" s="37"/>
    </row>
    <row r="134" spans="1:8" ht="13.5" thickBot="1" thickTop="1">
      <c r="A134" s="11">
        <v>0.7</v>
      </c>
      <c r="B134" s="51">
        <f>SUM(G121:G130)</f>
        <v>0.5414753441401</v>
      </c>
      <c r="C134" s="37"/>
      <c r="E134" s="37"/>
      <c r="F134" s="37"/>
      <c r="G134" s="37"/>
      <c r="H134" s="37"/>
    </row>
    <row r="135" spans="3:8" ht="12.75" thickTop="1">
      <c r="C135" s="37"/>
      <c r="D135" s="37"/>
      <c r="E135" s="37"/>
      <c r="F135" s="37"/>
      <c r="G135" s="37"/>
      <c r="H135" s="37"/>
    </row>
    <row r="136" spans="1:8" ht="12">
      <c r="A136" s="72" t="s">
        <v>76</v>
      </c>
      <c r="B136" s="37"/>
      <c r="C136" s="37"/>
      <c r="D136" s="37"/>
      <c r="E136" s="37"/>
      <c r="F136" s="37"/>
      <c r="G136" s="37"/>
      <c r="H136" s="37"/>
    </row>
    <row r="137" spans="1:8" ht="12">
      <c r="A137" s="65" t="s">
        <v>2</v>
      </c>
      <c r="B137" s="66" t="s">
        <v>41</v>
      </c>
      <c r="C137" s="67"/>
      <c r="D137" s="37"/>
      <c r="E137" s="37"/>
      <c r="F137" s="37"/>
      <c r="G137" s="37"/>
      <c r="H137" s="37"/>
    </row>
    <row r="138" spans="1:8" ht="12">
      <c r="A138" s="52">
        <f>A134</f>
        <v>0.7</v>
      </c>
      <c r="B138" s="53">
        <f>interpo(A134,B113,B121:B130,C121:C130)</f>
        <v>0.5478079999999999</v>
      </c>
      <c r="C138" s="61"/>
      <c r="D138" s="37"/>
      <c r="E138" s="37"/>
      <c r="F138" s="37"/>
      <c r="G138" s="37"/>
      <c r="H138" s="37"/>
    </row>
    <row r="139" spans="1:8" ht="12">
      <c r="A139" s="68" t="s">
        <v>74</v>
      </c>
      <c r="B139" s="69"/>
      <c r="C139" s="70"/>
      <c r="D139" s="37"/>
      <c r="E139" s="37"/>
      <c r="F139" s="37"/>
      <c r="G139" s="37"/>
      <c r="H139" s="37"/>
    </row>
    <row r="140" spans="1:8" ht="12">
      <c r="A140" s="37"/>
      <c r="B140" s="37"/>
      <c r="C140" s="37"/>
      <c r="D140" s="37"/>
      <c r="E140" s="37"/>
      <c r="F140" s="37"/>
      <c r="G140" s="37"/>
      <c r="H140" s="37"/>
    </row>
    <row r="141" spans="1:8" ht="12">
      <c r="A141" s="54" t="s">
        <v>71</v>
      </c>
      <c r="B141" s="37"/>
      <c r="C141" s="37"/>
      <c r="D141" s="37"/>
      <c r="E141" s="37"/>
      <c r="F141" s="37"/>
      <c r="G141" s="37"/>
      <c r="H141" s="37"/>
    </row>
    <row r="142" spans="1:8" ht="12">
      <c r="A142" s="54" t="s">
        <v>72</v>
      </c>
      <c r="B142" s="37"/>
      <c r="C142" s="37"/>
      <c r="D142" s="37"/>
      <c r="E142" s="37"/>
      <c r="F142" s="37"/>
      <c r="G142" s="37"/>
      <c r="H142" s="37"/>
    </row>
    <row r="143" ht="12">
      <c r="A143" s="54" t="s">
        <v>73</v>
      </c>
    </row>
    <row r="152" ht="14.25" thickBot="1">
      <c r="A152" s="25" t="s">
        <v>83</v>
      </c>
    </row>
    <row r="153" spans="1:6" ht="14.25" thickTop="1">
      <c r="A153" s="23" t="s">
        <v>78</v>
      </c>
      <c r="B153" s="8">
        <v>4</v>
      </c>
      <c r="C153" s="24"/>
      <c r="E153" s="23" t="s">
        <v>80</v>
      </c>
      <c r="F153" s="75">
        <f>B155</f>
        <v>2</v>
      </c>
    </row>
    <row r="154" spans="1:6" ht="13.5">
      <c r="A154" s="23" t="s">
        <v>79</v>
      </c>
      <c r="B154" s="81">
        <v>2.5</v>
      </c>
      <c r="C154" s="24"/>
      <c r="E154" s="23" t="s">
        <v>81</v>
      </c>
      <c r="F154" s="76">
        <f>-1</f>
        <v>-1</v>
      </c>
    </row>
    <row r="155" spans="1:6" ht="12">
      <c r="A155" s="23" t="s">
        <v>0</v>
      </c>
      <c r="B155" s="82">
        <v>2</v>
      </c>
      <c r="C155" s="24"/>
      <c r="E155" s="23" t="s">
        <v>82</v>
      </c>
      <c r="F155" s="77">
        <f>B156</f>
        <v>4</v>
      </c>
    </row>
    <row r="156" spans="1:7" ht="15" thickBot="1">
      <c r="A156" s="23" t="s">
        <v>1</v>
      </c>
      <c r="B156" s="83">
        <v>4</v>
      </c>
      <c r="C156" s="24"/>
      <c r="E156" s="23" t="s">
        <v>12</v>
      </c>
      <c r="F156" s="78">
        <f>ABS(F153*B153+F154*B154+F155)/SQRT(F153^2+F154^2)</f>
        <v>4.2485291572496005</v>
      </c>
      <c r="G156" s="28" t="s">
        <v>84</v>
      </c>
    </row>
    <row r="157" spans="1:3" ht="12.75" thickTop="1">
      <c r="A157" s="23"/>
      <c r="C157" s="24"/>
    </row>
  </sheetData>
  <sheetProtection password="DE57" sheet="1" objects="1" scenarios="1" selectLockedCells="1"/>
  <mergeCells count="1">
    <mergeCell ref="B1:I1"/>
  </mergeCells>
  <printOptions/>
  <pageMargins left="0.75" right="0.75" top="1" bottom="1" header="0.4921259845" footer="0.4921259845"/>
  <pageSetup horizontalDpi="300" verticalDpi="300" orientation="portrait" paperSize="9" scale="85" r:id="rId2"/>
  <rowBreaks count="2" manualBreakCount="2">
    <brk id="61" max="255" man="1"/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2005-08-13T16:09:14Z</dcterms:created>
  <dcterms:modified xsi:type="dcterms:W3CDTF">2022-11-08T12:22:03Z</dcterms:modified>
  <cp:category/>
  <cp:version/>
  <cp:contentType/>
  <cp:contentStatus/>
</cp:coreProperties>
</file>