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495" windowHeight="10515" activeTab="0"/>
  </bookViews>
  <sheets>
    <sheet name="Feuil1" sheetId="1" r:id="rId1"/>
  </sheets>
  <definedNames>
    <definedName name="taba">'Feuil1'!$AY$25:$AZ$28</definedName>
    <definedName name="tabfck">'Feuil1'!$Y$4:$AF$15</definedName>
  </definedNames>
  <calcPr calcMode="manual" fullCalcOnLoad="1"/>
</workbook>
</file>

<file path=xl/comments1.xml><?xml version="1.0" encoding="utf-8"?>
<comments xmlns="http://schemas.openxmlformats.org/spreadsheetml/2006/main">
  <authors>
    <author>mactho1</author>
    <author>Henry</author>
  </authors>
  <commentList>
    <comment ref="C16" authorId="0">
      <text>
        <r>
          <rPr>
            <b/>
            <sz val="9"/>
            <rFont val="Tahoma"/>
            <family val="0"/>
          </rPr>
          <t>Diamètre minimal : 12 mm (NF EN 1536, § 7.5)</t>
        </r>
      </text>
    </comment>
    <comment ref="E20" authorId="1">
      <text>
        <r>
          <rPr>
            <b/>
            <sz val="9"/>
            <rFont val="Tahoma"/>
            <family val="0"/>
          </rPr>
          <t>Pour plus de précision, augmenter cette valeur.</t>
        </r>
        <r>
          <rPr>
            <sz val="9"/>
            <rFont val="Tahoma"/>
            <family val="0"/>
          </rPr>
          <t xml:space="preserve">
</t>
        </r>
      </text>
    </comment>
    <comment ref="A28" authorId="1">
      <text>
        <r>
          <rPr>
            <b/>
            <sz val="9"/>
            <rFont val="Tahoma"/>
            <family val="0"/>
          </rPr>
          <t>section entièrement comprimée ou partiellement tendue ?</t>
        </r>
      </text>
    </comment>
  </commentList>
</comments>
</file>

<file path=xl/sharedStrings.xml><?xml version="1.0" encoding="utf-8"?>
<sst xmlns="http://schemas.openxmlformats.org/spreadsheetml/2006/main" count="123" uniqueCount="107">
  <si>
    <t>N</t>
  </si>
  <si>
    <t>H. Thonier</t>
  </si>
  <si>
    <t>Données</t>
  </si>
  <si>
    <t>L'auteur n'est pas</t>
  </si>
  <si>
    <t>responsable de</t>
  </si>
  <si>
    <t>D</t>
  </si>
  <si>
    <t>m</t>
  </si>
  <si>
    <t>diamètre du pieu</t>
  </si>
  <si>
    <t>l'utilisation faite</t>
  </si>
  <si>
    <r>
      <t>f</t>
    </r>
    <r>
      <rPr>
        <vertAlign val="subscript"/>
        <sz val="9"/>
        <rFont val="Arial"/>
        <family val="2"/>
      </rPr>
      <t>ck</t>
    </r>
  </si>
  <si>
    <t>MPa</t>
  </si>
  <si>
    <t>de ce programme</t>
  </si>
  <si>
    <r>
      <t>N</t>
    </r>
    <r>
      <rPr>
        <vertAlign val="subscript"/>
        <sz val="9"/>
        <rFont val="Arial"/>
        <family val="2"/>
      </rPr>
      <t>s</t>
    </r>
  </si>
  <si>
    <t>Ø</t>
  </si>
  <si>
    <t>mm</t>
  </si>
  <si>
    <t>diamètre armature ≥ 12 mm</t>
  </si>
  <si>
    <r>
      <t>f</t>
    </r>
    <r>
      <rPr>
        <vertAlign val="subscript"/>
        <sz val="9"/>
        <rFont val="Arial"/>
        <family val="2"/>
      </rPr>
      <t>yk</t>
    </r>
  </si>
  <si>
    <t>acier</t>
  </si>
  <si>
    <r>
      <t>c</t>
    </r>
    <r>
      <rPr>
        <vertAlign val="subscript"/>
        <sz val="9"/>
        <rFont val="Arial"/>
        <family val="2"/>
      </rPr>
      <t>axe</t>
    </r>
  </si>
  <si>
    <t>x</t>
  </si>
  <si>
    <t>d</t>
  </si>
  <si>
    <t>MN</t>
  </si>
  <si>
    <t>MNm</t>
  </si>
  <si>
    <t>coefficients (NF P 94-262)</t>
  </si>
  <si>
    <r>
      <t>k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.k</t>
    </r>
    <r>
      <rPr>
        <vertAlign val="subscript"/>
        <sz val="9"/>
        <rFont val="Arial"/>
        <family val="2"/>
      </rPr>
      <t>2</t>
    </r>
  </si>
  <si>
    <t>nbre de pas de calcul</t>
  </si>
  <si>
    <r>
      <t>e</t>
    </r>
    <r>
      <rPr>
        <vertAlign val="subscript"/>
        <sz val="9"/>
        <rFont val="Arial"/>
        <family val="2"/>
      </rPr>
      <t>Ed</t>
    </r>
  </si>
  <si>
    <t>f.n.</t>
  </si>
  <si>
    <t>enr</t>
  </si>
  <si>
    <t>na</t>
  </si>
  <si>
    <t>r=D/2-enr</t>
  </si>
  <si>
    <t>a</t>
  </si>
  <si>
    <t>cercle</t>
  </si>
  <si>
    <t>aciers</t>
  </si>
  <si>
    <t>fibre neutre</t>
  </si>
  <si>
    <r>
      <t>cm</t>
    </r>
    <r>
      <rPr>
        <vertAlign val="superscript"/>
        <sz val="9"/>
        <rFont val="Arial"/>
        <family val="2"/>
      </rPr>
      <t>2</t>
    </r>
  </si>
  <si>
    <t>en haut</t>
  </si>
  <si>
    <t>en bas</t>
  </si>
  <si>
    <t>nombre d'armatures</t>
  </si>
  <si>
    <t>≤ 40</t>
  </si>
  <si>
    <t>desin cercle et aciers</t>
  </si>
  <si>
    <t>r</t>
  </si>
  <si>
    <t>pourcentage acier</t>
  </si>
  <si>
    <r>
      <t>S</t>
    </r>
    <r>
      <rPr>
        <sz val="9"/>
        <rFont val="Arial"/>
        <family val="0"/>
      </rPr>
      <t>A</t>
    </r>
    <r>
      <rPr>
        <vertAlign val="subscript"/>
        <sz val="9"/>
        <rFont val="Arial"/>
        <family val="2"/>
      </rPr>
      <t>s</t>
    </r>
  </si>
  <si>
    <t>effort normal</t>
  </si>
  <si>
    <t>moment</t>
  </si>
  <si>
    <t>pour la même excentricité que  celle des sollicitations agissantes</t>
  </si>
  <si>
    <t xml:space="preserve">Ce document est protégé par le droit d’auteur © Henry Thonier - EGF </t>
  </si>
  <si>
    <t>Recherche fibre neutre et contraintes béton et aciers</t>
  </si>
  <si>
    <r>
      <t>f*</t>
    </r>
    <r>
      <rPr>
        <vertAlign val="subscript"/>
        <sz val="9"/>
        <rFont val="Arial"/>
        <family val="2"/>
      </rPr>
      <t>ck</t>
    </r>
  </si>
  <si>
    <t>résistance de calcul (NF P 94-262)</t>
  </si>
  <si>
    <r>
      <t>N</t>
    </r>
    <r>
      <rPr>
        <vertAlign val="subscript"/>
        <sz val="9"/>
        <rFont val="Arial"/>
        <family val="2"/>
      </rPr>
      <t>ELS</t>
    </r>
  </si>
  <si>
    <r>
      <t>M</t>
    </r>
    <r>
      <rPr>
        <vertAlign val="subscript"/>
        <sz val="9"/>
        <rFont val="Arial"/>
        <family val="2"/>
      </rPr>
      <t>ELS</t>
    </r>
  </si>
  <si>
    <t>coefficient d'équivalence</t>
  </si>
  <si>
    <r>
      <t>m</t>
    </r>
    <r>
      <rPr>
        <vertAlign val="superscript"/>
        <sz val="9"/>
        <rFont val="Arial"/>
        <family val="2"/>
      </rPr>
      <t>4</t>
    </r>
  </si>
  <si>
    <t>enrobage à laxe</t>
  </si>
  <si>
    <r>
      <t>e</t>
    </r>
    <r>
      <rPr>
        <vertAlign val="subscript"/>
        <sz val="9"/>
        <rFont val="Arial"/>
        <family val="2"/>
      </rPr>
      <t>0</t>
    </r>
  </si>
  <si>
    <t>= I/(0,5D.A)  excentricité limite EC-PT</t>
  </si>
  <si>
    <t>section</t>
  </si>
  <si>
    <r>
      <t>s</t>
    </r>
    <r>
      <rPr>
        <vertAlign val="subscript"/>
        <sz val="9"/>
        <rFont val="Arial"/>
        <family val="2"/>
      </rPr>
      <t>h</t>
    </r>
  </si>
  <si>
    <r>
      <t>s</t>
    </r>
    <r>
      <rPr>
        <vertAlign val="subscript"/>
        <sz val="9"/>
        <rFont val="Arial"/>
        <family val="2"/>
      </rPr>
      <t>b</t>
    </r>
  </si>
  <si>
    <r>
      <t>m</t>
    </r>
    <r>
      <rPr>
        <vertAlign val="superscript"/>
        <sz val="9"/>
        <rFont val="Arial"/>
        <family val="2"/>
      </rPr>
      <t>2</t>
    </r>
  </si>
  <si>
    <r>
      <t>s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/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d</t>
    </r>
  </si>
  <si>
    <t>hauteur utile maxi</t>
  </si>
  <si>
    <t>Sollicitations ELS</t>
  </si>
  <si>
    <r>
      <t>s</t>
    </r>
    <r>
      <rPr>
        <vertAlign val="subscript"/>
        <sz val="9"/>
        <rFont val="Arial"/>
        <family val="2"/>
      </rPr>
      <t>m</t>
    </r>
  </si>
  <si>
    <r>
      <t>≤ 0,3f*</t>
    </r>
    <r>
      <rPr>
        <vertAlign val="subscript"/>
        <sz val="9"/>
        <rFont val="Arial"/>
        <family val="2"/>
      </rPr>
      <t>ck</t>
    </r>
  </si>
  <si>
    <r>
      <t>≤ 0,6f*</t>
    </r>
    <r>
      <rPr>
        <vertAlign val="subscript"/>
        <sz val="9"/>
        <rFont val="Arial"/>
        <family val="2"/>
      </rPr>
      <t>ck</t>
    </r>
  </si>
  <si>
    <t>224 - Section circulaire en flexion composée (pieux, injections solides, …)</t>
  </si>
  <si>
    <t>diagramme linéaire du béton</t>
  </si>
  <si>
    <t>Aire (B+A) section pleine homogénéisée</t>
  </si>
  <si>
    <t>moment d'inertie (B+A)  section pleine d°</t>
  </si>
  <si>
    <r>
      <t>= M</t>
    </r>
    <r>
      <rPr>
        <vertAlign val="subscript"/>
        <sz val="9"/>
        <rFont val="Arial"/>
        <family val="2"/>
      </rPr>
      <t>ELS</t>
    </r>
    <r>
      <rPr>
        <sz val="9"/>
        <rFont val="Arial"/>
        <family val="0"/>
      </rPr>
      <t>/N</t>
    </r>
    <r>
      <rPr>
        <vertAlign val="subscript"/>
        <sz val="9"/>
        <rFont val="Arial"/>
        <family val="2"/>
      </rPr>
      <t>ELS</t>
    </r>
  </si>
  <si>
    <r>
      <t xml:space="preserve">avec ou sans armatures longitudinales </t>
    </r>
    <r>
      <rPr>
        <b/>
        <u val="single"/>
        <sz val="9"/>
        <rFont val="Arial"/>
        <family val="2"/>
      </rPr>
      <t>en ELS</t>
    </r>
    <r>
      <rPr>
        <b/>
        <sz val="9"/>
        <rFont val="Arial"/>
        <family val="2"/>
      </rPr>
      <t xml:space="preserve"> - f</t>
    </r>
    <r>
      <rPr>
        <b/>
        <vertAlign val="subscript"/>
        <sz val="9"/>
        <rFont val="Arial"/>
        <family val="2"/>
      </rPr>
      <t>ck</t>
    </r>
    <r>
      <rPr>
        <b/>
        <sz val="9"/>
        <rFont val="Arial"/>
        <family val="2"/>
      </rPr>
      <t xml:space="preserve"> ≥ 12 MPa</t>
    </r>
  </si>
  <si>
    <t>résistance béton ≥ 12 MPa</t>
  </si>
  <si>
    <r>
      <t>A</t>
    </r>
    <r>
      <rPr>
        <vertAlign val="subscript"/>
        <sz val="9"/>
        <rFont val="Arial"/>
        <family val="2"/>
      </rPr>
      <t>b+a</t>
    </r>
  </si>
  <si>
    <r>
      <t>0,6f*</t>
    </r>
    <r>
      <rPr>
        <vertAlign val="subscript"/>
        <sz val="9"/>
        <rFont val="Arial"/>
        <family val="2"/>
      </rPr>
      <t>ck</t>
    </r>
  </si>
  <si>
    <r>
      <t>0,3f*</t>
    </r>
    <r>
      <rPr>
        <vertAlign val="subscript"/>
        <sz val="9"/>
        <rFont val="Arial"/>
        <family val="2"/>
      </rPr>
      <t>ck</t>
    </r>
  </si>
  <si>
    <t>limlte maxi</t>
  </si>
  <si>
    <t>limite moyenne</t>
  </si>
  <si>
    <t>y</t>
  </si>
  <si>
    <r>
      <t>s</t>
    </r>
    <r>
      <rPr>
        <vertAlign val="subscript"/>
        <sz val="9"/>
        <rFont val="Arial"/>
        <family val="2"/>
      </rPr>
      <t>c</t>
    </r>
  </si>
  <si>
    <t>b</t>
  </si>
  <si>
    <t>dS</t>
  </si>
  <si>
    <t>somme :</t>
  </si>
  <si>
    <t>Simpson</t>
  </si>
  <si>
    <r>
      <t>A</t>
    </r>
    <r>
      <rPr>
        <vertAlign val="subscript"/>
        <sz val="9"/>
        <rFont val="Arial"/>
        <family val="2"/>
      </rPr>
      <t>s</t>
    </r>
  </si>
  <si>
    <t>section d'une barre</t>
  </si>
  <si>
    <t>section totale des armatures</t>
  </si>
  <si>
    <t>Pour le cas 1</t>
  </si>
  <si>
    <r>
      <t>s</t>
    </r>
    <r>
      <rPr>
        <vertAlign val="subscript"/>
        <sz val="9"/>
        <rFont val="Arial"/>
        <family val="2"/>
      </rPr>
      <t>s</t>
    </r>
  </si>
  <si>
    <r>
      <t>dN</t>
    </r>
    <r>
      <rPr>
        <vertAlign val="subscript"/>
        <sz val="9"/>
        <rFont val="Arial"/>
        <family val="2"/>
      </rPr>
      <t>s</t>
    </r>
  </si>
  <si>
    <r>
      <t>dN</t>
    </r>
    <r>
      <rPr>
        <vertAlign val="subscript"/>
        <sz val="9"/>
        <rFont val="Arial"/>
        <family val="2"/>
      </rPr>
      <t>c</t>
    </r>
  </si>
  <si>
    <r>
      <t>dM</t>
    </r>
    <r>
      <rPr>
        <vertAlign val="subscript"/>
        <sz val="9"/>
        <rFont val="Arial"/>
        <family val="2"/>
      </rPr>
      <t>c</t>
    </r>
  </si>
  <si>
    <r>
      <t>dM</t>
    </r>
    <r>
      <rPr>
        <vertAlign val="subscript"/>
        <sz val="9"/>
        <rFont val="Arial"/>
        <family val="2"/>
      </rPr>
      <t>s</t>
    </r>
  </si>
  <si>
    <r>
      <t>N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+N</t>
    </r>
    <r>
      <rPr>
        <vertAlign val="subscript"/>
        <sz val="9"/>
        <rFont val="Arial"/>
        <family val="2"/>
      </rPr>
      <t>s</t>
    </r>
  </si>
  <si>
    <r>
      <t>M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+M</t>
    </r>
    <r>
      <rPr>
        <vertAlign val="subscript"/>
        <sz val="9"/>
        <rFont val="Arial"/>
        <family val="2"/>
      </rPr>
      <t>s</t>
    </r>
  </si>
  <si>
    <r>
      <t>I</t>
    </r>
    <r>
      <rPr>
        <vertAlign val="subscript"/>
        <sz val="9"/>
        <rFont val="Arial"/>
        <family val="2"/>
      </rPr>
      <t>b+a</t>
    </r>
  </si>
  <si>
    <t>eR</t>
  </si>
  <si>
    <t>≤1</t>
  </si>
  <si>
    <t>≤ 1</t>
  </si>
  <si>
    <t>Inertie/O</t>
  </si>
  <si>
    <t>aire comprimée homogénéisée</t>
  </si>
  <si>
    <t>hauteur comprimée</t>
  </si>
  <si>
    <r>
      <t>contrainte moyenne = N</t>
    </r>
    <r>
      <rPr>
        <vertAlign val="subscript"/>
        <sz val="9"/>
        <rFont val="Arial Narrow"/>
        <family val="2"/>
      </rPr>
      <t>Ed</t>
    </r>
    <r>
      <rPr>
        <sz val="9"/>
        <rFont val="Arial Narrow"/>
        <family val="2"/>
      </rPr>
      <t>/S</t>
    </r>
    <r>
      <rPr>
        <vertAlign val="subscript"/>
        <sz val="9"/>
        <rFont val="Arial Narrow"/>
        <family val="2"/>
      </rPr>
      <t>comp</t>
    </r>
  </si>
  <si>
    <r>
      <t>S</t>
    </r>
    <r>
      <rPr>
        <vertAlign val="subscript"/>
        <sz val="9"/>
        <rFont val="Arial"/>
        <family val="2"/>
      </rPr>
      <t>comp</t>
    </r>
  </si>
  <si>
    <t>Vérification détaillée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</si>
</sst>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%"/>
    <numFmt numFmtId="168" formatCode="0.00000"/>
    <numFmt numFmtId="169" formatCode="#,##0.0000_ ;\-#,##0.0000\ "/>
    <numFmt numFmtId="170" formatCode="#,##0.00000_ ;\-#,##0.00000\ "/>
    <numFmt numFmtId="171" formatCode="0.000000"/>
    <numFmt numFmtId="172" formatCode="0.000%"/>
  </numFmts>
  <fonts count="19"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 Narrow"/>
      <family val="2"/>
    </font>
    <font>
      <sz val="9"/>
      <name val="Symbol"/>
      <family val="1"/>
    </font>
    <font>
      <vertAlign val="subscript"/>
      <sz val="9"/>
      <name val="Arial"/>
      <family val="2"/>
    </font>
    <font>
      <b/>
      <sz val="9"/>
      <name val="Tahoma"/>
      <family val="0"/>
    </font>
    <font>
      <vertAlign val="superscript"/>
      <sz val="9"/>
      <name val="Arial"/>
      <family val="2"/>
    </font>
    <font>
      <b/>
      <sz val="9"/>
      <color indexed="12"/>
      <name val="Arial"/>
      <family val="2"/>
    </font>
    <font>
      <sz val="9"/>
      <name val="Tahoma"/>
      <family val="0"/>
    </font>
    <font>
      <sz val="8.25"/>
      <name val="Arial"/>
      <family val="2"/>
    </font>
    <font>
      <sz val="9"/>
      <color indexed="63"/>
      <name val="Arial"/>
      <family val="0"/>
    </font>
    <font>
      <sz val="10"/>
      <name val="Arial"/>
      <family val="2"/>
    </font>
    <font>
      <b/>
      <u val="single"/>
      <sz val="9"/>
      <name val="Arial"/>
      <family val="2"/>
    </font>
    <font>
      <b/>
      <vertAlign val="subscript"/>
      <sz val="9"/>
      <name val="Arial"/>
      <family val="2"/>
    </font>
    <font>
      <sz val="9"/>
      <color indexed="10"/>
      <name val="Arial"/>
      <family val="0"/>
    </font>
    <font>
      <vertAlign val="subscript"/>
      <sz val="9"/>
      <name val="Arial Narrow"/>
      <family val="2"/>
    </font>
    <font>
      <sz val="9"/>
      <color indexed="23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hair"/>
    </border>
    <border>
      <left style="thick"/>
      <right style="thick"/>
      <top style="thick"/>
      <bottom style="hair"/>
    </border>
    <border>
      <left style="thin"/>
      <right style="thin"/>
      <top style="hair"/>
      <bottom style="hair"/>
    </border>
    <border>
      <left style="thick"/>
      <right style="thick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ck"/>
      <right style="thick"/>
      <top style="hair"/>
      <bottom style="thick"/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2" borderId="4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165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166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7" fontId="3" fillId="3" borderId="15" xfId="2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66" fontId="0" fillId="0" borderId="3" xfId="0" applyNumberFormat="1" applyBorder="1" applyAlignment="1">
      <alignment horizontal="center"/>
    </xf>
    <xf numFmtId="172" fontId="0" fillId="0" borderId="3" xfId="2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 quotePrefix="1">
      <alignment horizontal="center"/>
    </xf>
    <xf numFmtId="171" fontId="3" fillId="0" borderId="1" xfId="0" applyNumberFormat="1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171" fontId="3" fillId="0" borderId="7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17" fillId="0" borderId="18" xfId="0" applyFont="1" applyFill="1" applyBorder="1" applyAlignment="1">
      <alignment horizontal="left"/>
    </xf>
    <xf numFmtId="167" fontId="0" fillId="0" borderId="0" xfId="20" applyNumberFormat="1" applyFill="1" applyAlignment="1">
      <alignment horizontal="center"/>
    </xf>
    <xf numFmtId="0" fontId="17" fillId="0" borderId="19" xfId="0" applyFont="1" applyFill="1" applyBorder="1" applyAlignment="1">
      <alignment horizontal="right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0" borderId="25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Dessin pour le cas 1</a:t>
            </a:r>
          </a:p>
        </c:rich>
      </c:tx>
      <c:layout>
        <c:manualLayout>
          <c:xMode val="factor"/>
          <c:yMode val="factor"/>
          <c:x val="0.35475"/>
          <c:y val="0.04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8375"/>
          <c:w val="0.95275"/>
          <c:h val="0.9072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Feuil1!$V$48</c:f>
              <c:strCache>
                <c:ptCount val="1"/>
                <c:pt idx="0">
                  <c:v>cercle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Feuil1!$U$49:$U$183</c:f>
              <c:numCache/>
            </c:numRef>
          </c:xVal>
          <c:yVal>
            <c:numRef>
              <c:f>Feuil1!$V$49:$V$183</c:f>
              <c:numCache/>
            </c:numRef>
          </c:yVal>
          <c:smooth val="0"/>
        </c:ser>
        <c:ser>
          <c:idx val="1"/>
          <c:order val="1"/>
          <c:tx>
            <c:strRef>
              <c:f>Feuil1!$W$48</c:f>
              <c:strCache>
                <c:ptCount val="1"/>
                <c:pt idx="0">
                  <c:v>fibre neutre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Feuil1!$U$49:$U$183</c:f>
              <c:numCache/>
            </c:numRef>
          </c:xVal>
          <c:yVal>
            <c:numRef>
              <c:f>Feuil1!$W$49:$W$183</c:f>
              <c:numCache/>
            </c:numRef>
          </c:yVal>
          <c:smooth val="0"/>
        </c:ser>
        <c:ser>
          <c:idx val="2"/>
          <c:order val="2"/>
          <c:tx>
            <c:strRef>
              <c:f>Feuil1!$X$48</c:f>
              <c:strCache>
                <c:ptCount val="1"/>
                <c:pt idx="0">
                  <c:v>aciers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Feuil1!$U$49:$U$183</c:f>
              <c:numCache/>
            </c:numRef>
          </c:xVal>
          <c:yVal>
            <c:numRef>
              <c:f>Feuil1!$X$49:$X$183</c:f>
              <c:numCache/>
            </c:numRef>
          </c:yVal>
          <c:smooth val="0"/>
        </c:ser>
        <c:axId val="30649149"/>
        <c:axId val="7406886"/>
      </c:scatterChart>
      <c:valAx>
        <c:axId val="3064914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406886"/>
        <c:crosses val="autoZero"/>
        <c:crossBetween val="midCat"/>
        <c:dispUnits/>
        <c:majorUnit val="0.2"/>
      </c:valAx>
      <c:valAx>
        <c:axId val="740688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6491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19</xdr:row>
      <xdr:rowOff>85725</xdr:rowOff>
    </xdr:from>
    <xdr:to>
      <xdr:col>16</xdr:col>
      <xdr:colOff>457200</xdr:colOff>
      <xdr:row>41</xdr:row>
      <xdr:rowOff>19050</xdr:rowOff>
    </xdr:to>
    <xdr:graphicFrame>
      <xdr:nvGraphicFramePr>
        <xdr:cNvPr id="1" name="Chart 102"/>
        <xdr:cNvGraphicFramePr/>
      </xdr:nvGraphicFramePr>
      <xdr:xfrm>
        <a:off x="4514850" y="3305175"/>
        <a:ext cx="35052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E183"/>
  <sheetViews>
    <sheetView showGridLines="0" tabSelected="1" workbookViewId="0" topLeftCell="A19">
      <selection activeCell="D36" sqref="D36"/>
    </sheetView>
  </sheetViews>
  <sheetFormatPr defaultColWidth="11.421875" defaultRowHeight="12"/>
  <cols>
    <col min="1" max="1" width="8.421875" style="1" customWidth="1"/>
    <col min="2" max="7" width="6.421875" style="1" customWidth="1"/>
    <col min="8" max="8" width="7.28125" style="1" customWidth="1"/>
    <col min="9" max="9" width="7.7109375" style="1" customWidth="1"/>
    <col min="10" max="10" width="7.28125" style="1" customWidth="1"/>
    <col min="11" max="11" width="7.7109375" style="1" customWidth="1"/>
    <col min="12" max="17" width="7.28125" style="1" customWidth="1"/>
    <col min="18" max="18" width="7.7109375" style="1" customWidth="1"/>
    <col min="19" max="16384" width="7.28125" style="1" customWidth="1"/>
  </cols>
  <sheetData>
    <row r="1" spans="1:10" ht="13.5" thickBot="1">
      <c r="A1" s="41"/>
      <c r="B1" s="80" t="s">
        <v>47</v>
      </c>
      <c r="C1" s="80"/>
      <c r="D1" s="80"/>
      <c r="E1" s="80"/>
      <c r="F1" s="80"/>
      <c r="G1" s="80"/>
      <c r="H1" s="80"/>
      <c r="I1" s="80"/>
      <c r="J1" s="42"/>
    </row>
    <row r="2" ht="12"/>
    <row r="3" ht="12"/>
    <row r="4" spans="1:13" ht="13.5">
      <c r="A4" s="36" t="s">
        <v>68</v>
      </c>
      <c r="M4" s="5" t="s">
        <v>1</v>
      </c>
    </row>
    <row r="5" spans="1:13" ht="13.5">
      <c r="A5" s="36" t="s">
        <v>73</v>
      </c>
      <c r="M5" s="5" t="s">
        <v>3</v>
      </c>
    </row>
    <row r="6" spans="1:13" ht="13.5">
      <c r="A6" s="37" t="s">
        <v>48</v>
      </c>
      <c r="B6" s="3"/>
      <c r="C6" s="3"/>
      <c r="D6" s="3"/>
      <c r="M6" s="5" t="s">
        <v>4</v>
      </c>
    </row>
    <row r="7" spans="1:13" ht="13.5">
      <c r="A7" s="37" t="s">
        <v>46</v>
      </c>
      <c r="E7" s="3"/>
      <c r="F7" s="3"/>
      <c r="G7" s="3"/>
      <c r="H7" s="3"/>
      <c r="I7" s="3"/>
      <c r="L7" s="3"/>
      <c r="M7" s="5" t="s">
        <v>8</v>
      </c>
    </row>
    <row r="8" spans="1:13" ht="13.5">
      <c r="A8" s="2" t="s">
        <v>69</v>
      </c>
      <c r="H8"/>
      <c r="M8" s="5" t="s">
        <v>11</v>
      </c>
    </row>
    <row r="9" ht="12"/>
    <row r="10" spans="9:12" ht="13.5">
      <c r="I10" s="10" t="s">
        <v>49</v>
      </c>
      <c r="J10" s="45">
        <f>C13/C14</f>
        <v>18.939393939393938</v>
      </c>
      <c r="K10" s="2" t="s">
        <v>10</v>
      </c>
      <c r="L10" s="2" t="s">
        <v>50</v>
      </c>
    </row>
    <row r="11" spans="1:12" ht="14.25" thickBot="1">
      <c r="A11" s="4" t="s">
        <v>2</v>
      </c>
      <c r="I11" s="10" t="s">
        <v>76</v>
      </c>
      <c r="J11" s="48">
        <f>0.6*J10</f>
        <v>11.363636363636362</v>
      </c>
      <c r="K11" s="2" t="s">
        <v>10</v>
      </c>
      <c r="L11" s="2" t="s">
        <v>78</v>
      </c>
    </row>
    <row r="12" spans="2:12" ht="14.25" thickTop="1">
      <c r="B12" s="10" t="s">
        <v>5</v>
      </c>
      <c r="C12" s="8">
        <v>1.2</v>
      </c>
      <c r="D12" s="2" t="s">
        <v>6</v>
      </c>
      <c r="E12" s="2" t="s">
        <v>7</v>
      </c>
      <c r="I12" s="10" t="s">
        <v>77</v>
      </c>
      <c r="J12" s="48">
        <f>0.3*J10</f>
        <v>5.681818181818181</v>
      </c>
      <c r="K12" s="2" t="s">
        <v>10</v>
      </c>
      <c r="L12" s="2" t="s">
        <v>79</v>
      </c>
    </row>
    <row r="13" spans="2:12" ht="13.5">
      <c r="B13" s="10" t="s">
        <v>9</v>
      </c>
      <c r="C13" s="11">
        <v>25</v>
      </c>
      <c r="D13" s="2" t="s">
        <v>10</v>
      </c>
      <c r="E13" s="2" t="s">
        <v>74</v>
      </c>
      <c r="I13" s="10" t="s">
        <v>86</v>
      </c>
      <c r="J13" s="9">
        <f>PI()/4*(C16/10)^2</f>
        <v>1.1309733552923256</v>
      </c>
      <c r="K13" s="2"/>
      <c r="L13" s="2" t="s">
        <v>87</v>
      </c>
    </row>
    <row r="14" spans="2:12" ht="13.5">
      <c r="B14" s="10" t="s">
        <v>24</v>
      </c>
      <c r="C14" s="11">
        <f>1.1*1.2</f>
        <v>1.32</v>
      </c>
      <c r="E14" s="2" t="s">
        <v>23</v>
      </c>
      <c r="I14" s="6" t="s">
        <v>43</v>
      </c>
      <c r="J14" s="9">
        <f>J13*C15</f>
        <v>9.047786842338605</v>
      </c>
      <c r="K14" s="2" t="s">
        <v>35</v>
      </c>
      <c r="L14" s="2" t="s">
        <v>88</v>
      </c>
    </row>
    <row r="15" spans="2:12" ht="13.5">
      <c r="B15" s="10" t="s">
        <v>12</v>
      </c>
      <c r="C15" s="11">
        <v>8</v>
      </c>
      <c r="D15" s="2"/>
      <c r="E15" s="2" t="s">
        <v>38</v>
      </c>
      <c r="I15" s="6" t="s">
        <v>41</v>
      </c>
      <c r="J15" s="47">
        <f>C15*(C16/1000)^2/C12^2</f>
        <v>0.0008</v>
      </c>
      <c r="L15" s="2" t="s">
        <v>42</v>
      </c>
    </row>
    <row r="16" spans="2:12" ht="13.5">
      <c r="B16" s="13" t="s">
        <v>13</v>
      </c>
      <c r="C16" s="32">
        <v>12</v>
      </c>
      <c r="D16" s="2" t="s">
        <v>14</v>
      </c>
      <c r="E16" s="2" t="s">
        <v>15</v>
      </c>
      <c r="I16" s="10" t="s">
        <v>75</v>
      </c>
      <c r="J16" s="9">
        <f>PI()*C12^2/4+C15*J13*C19/10000</f>
        <v>1.1490689289770029</v>
      </c>
      <c r="K16" s="2" t="s">
        <v>61</v>
      </c>
      <c r="L16" s="2" t="s">
        <v>70</v>
      </c>
    </row>
    <row r="17" spans="2:12" ht="13.5">
      <c r="B17" s="10" t="s">
        <v>16</v>
      </c>
      <c r="C17" s="11">
        <v>500</v>
      </c>
      <c r="D17" s="2" t="s">
        <v>10</v>
      </c>
      <c r="E17" s="2" t="s">
        <v>17</v>
      </c>
      <c r="I17" s="10" t="s">
        <v>97</v>
      </c>
      <c r="J17" s="9">
        <f>PI()*C12^4/64+SUM(F71:F90)</f>
        <v>0.10423412353847765</v>
      </c>
      <c r="K17" s="2" t="s">
        <v>54</v>
      </c>
      <c r="L17" s="2" t="s">
        <v>71</v>
      </c>
    </row>
    <row r="18" spans="2:57" ht="13.5">
      <c r="B18" s="10" t="s">
        <v>18</v>
      </c>
      <c r="C18" s="11">
        <v>0.08</v>
      </c>
      <c r="D18" s="2" t="s">
        <v>6</v>
      </c>
      <c r="E18" s="2" t="s">
        <v>55</v>
      </c>
      <c r="I18" s="10" t="s">
        <v>20</v>
      </c>
      <c r="J18" s="46">
        <f>C12-C18</f>
        <v>1.1199999999999999</v>
      </c>
      <c r="K18" s="2" t="s">
        <v>6</v>
      </c>
      <c r="L18" s="2" t="s">
        <v>63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2:57" ht="13.5">
      <c r="B19" s="6" t="s">
        <v>31</v>
      </c>
      <c r="C19" s="11">
        <v>20</v>
      </c>
      <c r="E19" s="2" t="s">
        <v>53</v>
      </c>
      <c r="I19" s="10" t="s">
        <v>56</v>
      </c>
      <c r="J19" s="49">
        <f>J17/(C12/2*J16)</f>
        <v>0.15118635170603673</v>
      </c>
      <c r="K19" s="2" t="s">
        <v>6</v>
      </c>
      <c r="L19" s="14" t="s">
        <v>57</v>
      </c>
      <c r="Q19" s="38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2:57" ht="14.25" thickBot="1">
      <c r="B20" s="10" t="s">
        <v>0</v>
      </c>
      <c r="C20" s="44">
        <v>20</v>
      </c>
      <c r="D20" s="2" t="s">
        <v>39</v>
      </c>
      <c r="E20" s="12" t="s">
        <v>25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31:57" ht="12.75" thickTop="1"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31:57" ht="12"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2">
      <c r="A23" s="4" t="s">
        <v>64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2.75" thickBot="1">
      <c r="A24" s="4"/>
      <c r="B24" s="39">
        <v>1</v>
      </c>
      <c r="C24" s="39">
        <v>2</v>
      </c>
      <c r="D24" s="39">
        <v>3</v>
      </c>
      <c r="E24" s="39">
        <v>4</v>
      </c>
      <c r="F24" s="39">
        <v>5</v>
      </c>
      <c r="S24" s="43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4.25" thickTop="1">
      <c r="A25" s="10" t="s">
        <v>51</v>
      </c>
      <c r="B25" s="74">
        <v>1</v>
      </c>
      <c r="C25" s="75">
        <v>1</v>
      </c>
      <c r="D25" s="75">
        <v>1</v>
      </c>
      <c r="E25" s="75">
        <v>9</v>
      </c>
      <c r="F25" s="76"/>
      <c r="G25" s="2" t="s">
        <v>21</v>
      </c>
      <c r="H25" s="2" t="s">
        <v>44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4.25" thickBot="1">
      <c r="A26" s="10" t="s">
        <v>52</v>
      </c>
      <c r="B26" s="77">
        <v>1</v>
      </c>
      <c r="C26" s="78">
        <v>0.05</v>
      </c>
      <c r="D26" s="78">
        <v>0.365</v>
      </c>
      <c r="E26" s="78">
        <v>0</v>
      </c>
      <c r="F26" s="79"/>
      <c r="G26" s="2" t="s">
        <v>22</v>
      </c>
      <c r="H26" s="2" t="s">
        <v>45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4.25" thickTop="1">
      <c r="A27" s="10" t="s">
        <v>26</v>
      </c>
      <c r="B27" s="22">
        <f>IF(B25=0,"",B26/B25)</f>
        <v>1</v>
      </c>
      <c r="C27" s="22">
        <f>IF(C25=0,"",C26/C25)</f>
        <v>0.05</v>
      </c>
      <c r="D27" s="22">
        <f>IF(D25=0,"",D26/D25)</f>
        <v>0.365</v>
      </c>
      <c r="E27" s="22">
        <f>IF(E25=0,"",E26/E25)</f>
        <v>0</v>
      </c>
      <c r="F27" s="22">
        <f>IF(F25=0,"",F26/F25)</f>
      </c>
      <c r="G27" s="2" t="s">
        <v>6</v>
      </c>
      <c r="H27" s="14" t="s">
        <v>72</v>
      </c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2">
      <c r="A28" s="10" t="s">
        <v>58</v>
      </c>
      <c r="B28" s="9" t="str">
        <f>IF(B27="","",IF(B27&lt;$J19,"EC","PT"))</f>
        <v>PT</v>
      </c>
      <c r="C28" s="9" t="str">
        <f>IF(C27="","",IF(C27&lt;$J19,"EC","PT"))</f>
        <v>EC</v>
      </c>
      <c r="D28" s="9" t="str">
        <f>IF(D27="","",IF(D27&lt;$J19,"EC","PT"))</f>
        <v>PT</v>
      </c>
      <c r="E28" s="9" t="str">
        <f>IF(E27="","",IF(E27&lt;$J19,"EC","PT"))</f>
        <v>EC</v>
      </c>
      <c r="F28" s="9">
        <f>IF(F27="","",IF(F27&lt;$J19,"EC","PT"))</f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2">
      <c r="A29" s="34" t="s">
        <v>19</v>
      </c>
      <c r="B29" s="33">
        <f>IF(B27="","",IF(B26=0,"",macf(B38,4)))</f>
        <v>0.24999206000000002</v>
      </c>
      <c r="C29" s="33">
        <f>IF(C27="","",IF(C26=0,"",macf(C38,4)))</f>
        <v>2.4142362</v>
      </c>
      <c r="D29" s="33">
        <f>IF(D27="","",IF(D26=0,"",macf(D38,4)))</f>
        <v>0.60901794</v>
      </c>
      <c r="E29" s="33">
        <f>IF(E27="","",IF(E26=0,"",macf(E38,4)))</f>
      </c>
      <c r="F29" s="33">
        <f>IF(F27="","",IF(F26=0,"",macf(F38,4)))</f>
      </c>
      <c r="G29" s="2" t="s">
        <v>6</v>
      </c>
      <c r="H29" s="2" t="s">
        <v>103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3.5">
      <c r="A30" s="34" t="s">
        <v>105</v>
      </c>
      <c r="B30" s="68">
        <f>IF(B27="","",macf(B38,8))</f>
        <v>0.17617208</v>
      </c>
      <c r="C30" s="68">
        <f>IF(C27="","",macf(C38,8))</f>
        <v>1.1490688999999998</v>
      </c>
      <c r="D30" s="68">
        <f>IF(D27="","",macf(D38,8))</f>
        <v>0.59215977</v>
      </c>
      <c r="E30" s="68">
        <f>IF(E27="","",macf(E38,8))</f>
        <v>1.1490688999999998</v>
      </c>
      <c r="F30" s="68">
        <f>IF(F27="","",macf(F38,8))</f>
      </c>
      <c r="G30" s="69" t="s">
        <v>61</v>
      </c>
      <c r="H30" s="70" t="s">
        <v>102</v>
      </c>
      <c r="I30" s="19"/>
      <c r="J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3.5">
      <c r="A31" s="35" t="s">
        <v>59</v>
      </c>
      <c r="B31" s="33">
        <f>IF(B27="","",macf(B38,1))</f>
        <v>22.684981</v>
      </c>
      <c r="C31" s="33">
        <f>IF(C27="","",macf(C38,1))</f>
        <v>1.1580834</v>
      </c>
      <c r="D31" s="33">
        <f>IF(D27="","",macf(D38,1))</f>
        <v>4.0947819999999995</v>
      </c>
      <c r="E31" s="33">
        <f>IF(E27="","",macf(E38,1))</f>
        <v>7.832428299999999</v>
      </c>
      <c r="F31" s="33">
        <f>IF(F27="","",macf(F38,1))</f>
      </c>
      <c r="G31" s="2" t="s">
        <v>10</v>
      </c>
      <c r="H31" s="2" t="s">
        <v>36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3.5">
      <c r="A32" s="35" t="s">
        <v>60</v>
      </c>
      <c r="B32" s="33">
        <f>IF(B27="","",macf(B38,2))</f>
        <v>0</v>
      </c>
      <c r="C32" s="33">
        <f>IF(C27="","",macf(C38,2))</f>
        <v>0.58245619</v>
      </c>
      <c r="D32" s="33">
        <f>IF(D27="","",macf(D38,2))</f>
        <v>0</v>
      </c>
      <c r="E32" s="33">
        <f>IF(E27="","",macf(E38,2))</f>
        <v>7.832428299999999</v>
      </c>
      <c r="F32" s="33">
        <f>IF(F27="","",macf(F38,2))</f>
      </c>
      <c r="G32" s="2" t="s">
        <v>10</v>
      </c>
      <c r="H32" s="2" t="s">
        <v>37</v>
      </c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3.5">
      <c r="A33" s="6" t="s">
        <v>62</v>
      </c>
      <c r="B33" s="40">
        <f>IF(B27="","",B31/$J11)</f>
        <v>1.9962783280000005</v>
      </c>
      <c r="C33" s="40">
        <f>IF(C27="","",C31/$J11)</f>
        <v>0.10191133920000002</v>
      </c>
      <c r="D33" s="40">
        <f>IF(D27="","",D31/$J11)</f>
        <v>0.360340816</v>
      </c>
      <c r="E33" s="40">
        <f>IF(E27="","",E31/$J11)</f>
        <v>0.6892536904000001</v>
      </c>
      <c r="F33" s="40">
        <f>IF(F27="","",F31/$J11)</f>
      </c>
      <c r="G33" s="2" t="s">
        <v>99</v>
      </c>
      <c r="H33" s="1" t="s">
        <v>67</v>
      </c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2:57" ht="12">
      <c r="B34" s="23" t="str">
        <f>IF(B27="","",IF(B33&lt;1,"OK","KO"))</f>
        <v>KO</v>
      </c>
      <c r="C34" s="23" t="str">
        <f>IF(C27="","",IF(C33&lt;1,"OK","KO"))</f>
        <v>OK</v>
      </c>
      <c r="D34" s="23" t="str">
        <f>IF(D27="","",IF(D33&lt;1,"OK","KO"))</f>
        <v>OK</v>
      </c>
      <c r="E34" s="23" t="str">
        <f>IF(E27="","",IF(E33&lt;1,"OK","KO"))</f>
        <v>OK</v>
      </c>
      <c r="F34" s="23">
        <f>IF(F27="","",IF(F33&lt;1,"OK","KO"))</f>
      </c>
      <c r="G34" s="59"/>
      <c r="I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5">
      <c r="A35" s="35" t="s">
        <v>65</v>
      </c>
      <c r="B35" s="7">
        <f>IF(B27="","",B25/B30)</f>
        <v>5.676268339455378</v>
      </c>
      <c r="C35" s="7">
        <f>IF(C27="","",C25/C30)</f>
        <v>0.8702698332536892</v>
      </c>
      <c r="D35" s="7">
        <f>IF(D27="","",D25/D30)</f>
        <v>1.6887334308441793</v>
      </c>
      <c r="E35" s="7">
        <f>IF(E27="","",E25/E30)</f>
        <v>7.832428499283203</v>
      </c>
      <c r="F35" s="7">
        <f>IF(F27="","",F25/F30)</f>
      </c>
      <c r="G35" s="2" t="s">
        <v>10</v>
      </c>
      <c r="H35" s="12" t="s">
        <v>104</v>
      </c>
      <c r="I35"/>
      <c r="J35"/>
      <c r="K35"/>
      <c r="L35"/>
      <c r="M35"/>
      <c r="N35"/>
      <c r="O35" s="19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2:57" ht="13.5">
      <c r="B36" s="40">
        <f>IF(B27="","",B35/$J12)</f>
        <v>0.9990232277441466</v>
      </c>
      <c r="C36" s="40">
        <f>IF(C27="","",C35/$J12)</f>
        <v>0.15316749065264934</v>
      </c>
      <c r="D36" s="40">
        <f>IF(D27="","",D35/$J12)</f>
        <v>0.2972170838285756</v>
      </c>
      <c r="E36" s="40">
        <f>IF(E27="","",E35/$J12)</f>
        <v>1.378507415873844</v>
      </c>
      <c r="F36" s="40">
        <f>IF(F27="","",F35/$J12)</f>
      </c>
      <c r="G36" s="2" t="s">
        <v>100</v>
      </c>
      <c r="H36" s="1" t="s">
        <v>66</v>
      </c>
      <c r="I36"/>
      <c r="J36"/>
      <c r="K36"/>
      <c r="L36"/>
      <c r="M36"/>
      <c r="N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2:57" ht="12">
      <c r="B37" s="23" t="str">
        <f>IF(B27="","",IF(B36&lt;1,"OK","KO"))</f>
        <v>OK</v>
      </c>
      <c r="C37" s="23" t="str">
        <f>IF(C27="","",IF(C36&lt;1,"OK","KO"))</f>
        <v>OK</v>
      </c>
      <c r="D37" s="23" t="str">
        <f>IF(D27="","",IF(D36&lt;1,"OK","KO"))</f>
        <v>OK</v>
      </c>
      <c r="E37" s="23" t="str">
        <f>IF(E27="","",IF(E36&lt;1,"OK","KO"))</f>
        <v>KO</v>
      </c>
      <c r="F37" s="23">
        <f>IF(F27="","",IF(F36&lt;1,"OK","KO"))</f>
      </c>
      <c r="K37"/>
      <c r="L37"/>
      <c r="M37"/>
      <c r="N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2:57" ht="13.5">
      <c r="B38" s="71" t="str">
        <f>fNMRx(B25,B26,$C12,$C18,$C19,$C15,$J13,$C20)</f>
        <v> 226849816 2000000000000 999952666 0 249992065 0 100000000 1 999952666 0 151186351 0 176172089 0 104234123 0000000000000</v>
      </c>
      <c r="C38" s="71" t="str">
        <f>fNMRx(C25,C26,$C12,$C18,$C19,$C15,$J13,$C20)</f>
        <v> 115808342 1 582456195 0 500000000-1 241423622 1 100000000 1 500000000-1 151186351 0 114906892 1 104234123 0000000000000</v>
      </c>
      <c r="D38" s="71" t="str">
        <f>fNMRx(D25,D26,$C12,$C18,$C19,$C15,$J13,$C20)</f>
        <v> 409478204 1000000000000 364998882 0 609017944 0 100000000 1 364998882 0 151186351 0 592159778 0 104234123 0000000000000</v>
      </c>
      <c r="E38" s="71" t="str">
        <f>fNMRx(E25,E26,$C12,$C18,$C19,$C15,$J13,$C20)</f>
        <v> 783242830 1 783242830 1000000000000000000000000000000000000000000000000000000000000 114906892 1000000000000000000000000</v>
      </c>
      <c r="F38" s="73" t="str">
        <f>fNMRx(F25,F26,$C12,$C18,$C19,$C15,$J13,$C20)</f>
        <v>000000000000000000000000000000000000000000000000000000000000000000000000000000000000000000000000000000000000000000000000</v>
      </c>
      <c r="J38" s="2"/>
      <c r="K38"/>
      <c r="L38"/>
      <c r="M38"/>
      <c r="N38"/>
      <c r="O38" s="20"/>
      <c r="S38" s="2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1:57" ht="12">
      <c r="K39"/>
      <c r="L39"/>
      <c r="M39"/>
      <c r="N39"/>
      <c r="O39" s="20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1:57" ht="12">
      <c r="K40"/>
      <c r="L40"/>
      <c r="M40"/>
      <c r="N40"/>
      <c r="O40" s="2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9:57" ht="12">
      <c r="I41"/>
      <c r="K41"/>
      <c r="L41"/>
      <c r="M41"/>
      <c r="N41"/>
      <c r="O41" s="20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9:57" ht="12">
      <c r="I42"/>
      <c r="K42"/>
      <c r="L42"/>
      <c r="M42"/>
      <c r="N42"/>
      <c r="O42" s="20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2">
      <c r="A43" s="4" t="s">
        <v>106</v>
      </c>
      <c r="H43"/>
      <c r="I43"/>
      <c r="K43"/>
      <c r="L43"/>
      <c r="M43"/>
      <c r="N43"/>
      <c r="O43" s="20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2">
      <c r="A44"/>
      <c r="B44" s="35"/>
      <c r="D44"/>
      <c r="E44"/>
      <c r="F44"/>
      <c r="G44"/>
      <c r="H44"/>
      <c r="I44"/>
      <c r="K44"/>
      <c r="L44"/>
      <c r="M44"/>
      <c r="N44"/>
      <c r="O44" s="20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2">
      <c r="A45" s="4" t="s">
        <v>89</v>
      </c>
      <c r="K45"/>
      <c r="L45"/>
      <c r="M45"/>
      <c r="N45"/>
      <c r="O45" s="20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3:57" ht="13.5">
      <c r="C46" s="50" t="s">
        <v>85</v>
      </c>
      <c r="D46" s="21" t="s">
        <v>80</v>
      </c>
      <c r="E46" s="51" t="s">
        <v>81</v>
      </c>
      <c r="F46" s="21" t="s">
        <v>82</v>
      </c>
      <c r="G46" s="21" t="s">
        <v>83</v>
      </c>
      <c r="H46" s="21" t="s">
        <v>92</v>
      </c>
      <c r="I46" s="21" t="s">
        <v>93</v>
      </c>
      <c r="K46"/>
      <c r="L46"/>
      <c r="M46"/>
      <c r="N46"/>
      <c r="O46" s="20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2:57" ht="12">
      <c r="B47" s="1">
        <v>0</v>
      </c>
      <c r="C47" s="7">
        <v>1</v>
      </c>
      <c r="D47" s="52">
        <f aca="true" t="shared" si="0" ref="D47:D67">B47/B$67*MIN(B$29,C$12)</f>
        <v>0</v>
      </c>
      <c r="E47" s="52">
        <f>IF(B$28="EC",B$31+(B$32-B$31)*D47/C$12,B$31*(B$29-D47)/B$29)</f>
        <v>22.684981</v>
      </c>
      <c r="F47" s="52">
        <f>2*SQRT(C$12^2/4-(C$12/2-D47)^2)</f>
        <v>0</v>
      </c>
      <c r="G47" s="7">
        <f>F47*D$67/B$67*(C47/3)</f>
        <v>0</v>
      </c>
      <c r="H47" s="7">
        <f>G47*E47</f>
        <v>0</v>
      </c>
      <c r="I47" s="7">
        <f>H47*(C$12/2-D47)</f>
        <v>0</v>
      </c>
      <c r="J47"/>
      <c r="K47"/>
      <c r="L47"/>
      <c r="M47"/>
      <c r="N47"/>
      <c r="O47" s="20"/>
      <c r="U47" s="2" t="s">
        <v>40</v>
      </c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2:57" ht="13.5">
      <c r="B48" s="1">
        <v>1</v>
      </c>
      <c r="C48" s="9">
        <v>4</v>
      </c>
      <c r="D48" s="53">
        <f t="shared" si="0"/>
        <v>0.012499603000000001</v>
      </c>
      <c r="E48" s="53">
        <f aca="true" t="shared" si="1" ref="E48:E67">IF(B$28="EC",B$31+(B$32-B$31)*D48/C$12,B$31*(B$29-D48)/B$29)</f>
        <v>21.55073195</v>
      </c>
      <c r="F48" s="53">
        <f aca="true" t="shared" si="2" ref="F48:F67">2*SQRT(C$12^2/4-(C$12/2-D48)^2)</f>
        <v>0.2436660298428353</v>
      </c>
      <c r="G48" s="9">
        <f aca="true" t="shared" si="3" ref="G48:G67">F48*D$67/B$67*(C48/3)</f>
        <v>0.004060971516828792</v>
      </c>
      <c r="H48" s="9">
        <f aca="true" t="shared" si="4" ref="H48:H67">G48*E48</f>
        <v>0.0875169086157622</v>
      </c>
      <c r="I48" s="9">
        <f aca="true" t="shared" si="5" ref="I48:I67">H48*(C$12/2-D48)</f>
        <v>0.05141621855597301</v>
      </c>
      <c r="J48"/>
      <c r="K48" s="10" t="s">
        <v>95</v>
      </c>
      <c r="L48" s="57">
        <f>H68+H91</f>
        <v>0.9999280801362319</v>
      </c>
      <c r="M48" s="72">
        <f>L48/B25</f>
        <v>0.9999280801362319</v>
      </c>
      <c r="N48"/>
      <c r="O48" s="20"/>
      <c r="U48" s="17"/>
      <c r="V48" s="24" t="s">
        <v>32</v>
      </c>
      <c r="W48" s="24" t="s">
        <v>34</v>
      </c>
      <c r="X48" s="25" t="s">
        <v>33</v>
      </c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2:57" ht="13.5">
      <c r="B49" s="1">
        <v>2</v>
      </c>
      <c r="C49" s="9">
        <v>2</v>
      </c>
      <c r="D49" s="53">
        <f t="shared" si="0"/>
        <v>0.024999206000000003</v>
      </c>
      <c r="E49" s="53">
        <f t="shared" si="1"/>
        <v>20.416482900000002</v>
      </c>
      <c r="F49" s="53">
        <f t="shared" si="2"/>
        <v>0.3427774024020233</v>
      </c>
      <c r="G49" s="9">
        <f t="shared" si="3"/>
        <v>0.002856387631597692</v>
      </c>
      <c r="H49" s="9">
        <f t="shared" si="4"/>
        <v>0.05831738923628578</v>
      </c>
      <c r="I49" s="9">
        <f t="shared" si="5"/>
        <v>0.03353254511487137</v>
      </c>
      <c r="J49"/>
      <c r="K49" s="10" t="s">
        <v>96</v>
      </c>
      <c r="L49" s="57">
        <f>I68+I91</f>
        <v>0.9999363197609603</v>
      </c>
      <c r="M49" s="72">
        <f>IF(B26=0,"",L49/B26)</f>
        <v>0.9999363197609603</v>
      </c>
      <c r="N49"/>
      <c r="O49" s="20"/>
      <c r="T49" s="1">
        <v>0</v>
      </c>
      <c r="U49" s="18">
        <f aca="true" t="shared" si="6" ref="U49:U80">SQRT(C$12^2/4-V49^2)</f>
        <v>0</v>
      </c>
      <c r="V49" s="26">
        <f aca="true" t="shared" si="7" ref="V49:V80">-T49/T$99*C$12+C$12/2</f>
        <v>0.6</v>
      </c>
      <c r="W49" s="26"/>
      <c r="X49" s="27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2:57" ht="12">
      <c r="B50" s="1">
        <v>3</v>
      </c>
      <c r="C50" s="9">
        <v>4</v>
      </c>
      <c r="D50" s="53">
        <f t="shared" si="0"/>
        <v>0.037498809</v>
      </c>
      <c r="E50" s="53">
        <f t="shared" si="1"/>
        <v>19.28223385</v>
      </c>
      <c r="F50" s="53">
        <f t="shared" si="2"/>
        <v>0.4175759098587061</v>
      </c>
      <c r="G50" s="9">
        <f t="shared" si="3"/>
        <v>0.006959377460796817</v>
      </c>
      <c r="H50" s="9">
        <f t="shared" si="4"/>
        <v>0.13419234364950344</v>
      </c>
      <c r="I50" s="9">
        <f t="shared" si="5"/>
        <v>0.07548335312592697</v>
      </c>
      <c r="J50"/>
      <c r="K50" s="10" t="s">
        <v>98</v>
      </c>
      <c r="L50" s="58">
        <f>L49/L48</f>
        <v>1.0000082402173638</v>
      </c>
      <c r="M50" s="72">
        <f>IF(B26=0,"",L50/B27)</f>
        <v>1.0000082402173638</v>
      </c>
      <c r="N50"/>
      <c r="O50" s="20"/>
      <c r="T50" s="1">
        <v>1</v>
      </c>
      <c r="U50" s="18">
        <f t="shared" si="6"/>
        <v>0.1680000000000001</v>
      </c>
      <c r="V50" s="26">
        <f t="shared" si="7"/>
        <v>0.576</v>
      </c>
      <c r="W50" s="26"/>
      <c r="X50" s="27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2:57" ht="12">
      <c r="B51" s="1">
        <v>4</v>
      </c>
      <c r="C51" s="9">
        <v>2</v>
      </c>
      <c r="D51" s="53">
        <f t="shared" si="0"/>
        <v>0.049998412000000006</v>
      </c>
      <c r="E51" s="53">
        <f t="shared" si="1"/>
        <v>18.147984800000003</v>
      </c>
      <c r="F51" s="53">
        <f t="shared" si="2"/>
        <v>0.47957586760585963</v>
      </c>
      <c r="G51" s="9">
        <f t="shared" si="3"/>
        <v>0.003996338635635871</v>
      </c>
      <c r="H51" s="9">
        <f t="shared" si="4"/>
        <v>0.07252549281517254</v>
      </c>
      <c r="I51" s="9">
        <f t="shared" si="5"/>
        <v>0.03988913621882748</v>
      </c>
      <c r="J51"/>
      <c r="K51"/>
      <c r="L51"/>
      <c r="M51"/>
      <c r="N51"/>
      <c r="O51" s="20"/>
      <c r="T51" s="1">
        <v>2</v>
      </c>
      <c r="U51" s="18">
        <f t="shared" si="6"/>
        <v>0.23515101530718524</v>
      </c>
      <c r="V51" s="26">
        <f t="shared" si="7"/>
        <v>0.5519999999999999</v>
      </c>
      <c r="W51" s="26"/>
      <c r="X51" s="27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2:57" ht="12">
      <c r="B52" s="1">
        <v>5</v>
      </c>
      <c r="C52" s="9">
        <v>4</v>
      </c>
      <c r="D52" s="53">
        <f t="shared" si="0"/>
        <v>0.062498015000000004</v>
      </c>
      <c r="E52" s="53">
        <f t="shared" si="1"/>
        <v>17.01373575</v>
      </c>
      <c r="F52" s="53">
        <f t="shared" si="2"/>
        <v>0.5332602221094679</v>
      </c>
      <c r="G52" s="9">
        <f t="shared" si="3"/>
        <v>0.008887388096080228</v>
      </c>
      <c r="H52" s="9">
        <f t="shared" si="4"/>
        <v>0.1512076725744046</v>
      </c>
      <c r="I52" s="9">
        <f t="shared" si="5"/>
        <v>0.08127442415597254</v>
      </c>
      <c r="J52"/>
      <c r="K52"/>
      <c r="L52"/>
      <c r="M52"/>
      <c r="N52"/>
      <c r="O52" s="20"/>
      <c r="T52" s="1">
        <v>3</v>
      </c>
      <c r="U52" s="18">
        <f t="shared" si="6"/>
        <v>0.28498421008890995</v>
      </c>
      <c r="V52" s="26">
        <f t="shared" si="7"/>
        <v>0.528</v>
      </c>
      <c r="W52" s="26"/>
      <c r="X52" s="27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2:57" ht="12">
      <c r="B53" s="1">
        <v>6</v>
      </c>
      <c r="C53" s="9">
        <v>2</v>
      </c>
      <c r="D53" s="53">
        <f t="shared" si="0"/>
        <v>0.074997618</v>
      </c>
      <c r="E53" s="53">
        <f t="shared" si="1"/>
        <v>15.879486700000003</v>
      </c>
      <c r="F53" s="53">
        <f t="shared" si="2"/>
        <v>0.5809388914311939</v>
      </c>
      <c r="G53" s="9">
        <f t="shared" si="3"/>
        <v>0.004841003673433351</v>
      </c>
      <c r="H53" s="9">
        <f t="shared" si="4"/>
        <v>0.07687265344693606</v>
      </c>
      <c r="I53" s="9">
        <f t="shared" si="5"/>
        <v>0.04035832617030193</v>
      </c>
      <c r="J53"/>
      <c r="K53"/>
      <c r="L53"/>
      <c r="M53"/>
      <c r="N53"/>
      <c r="O53" s="20"/>
      <c r="T53" s="1">
        <v>4</v>
      </c>
      <c r="U53" s="18">
        <f t="shared" si="6"/>
        <v>0.3255518391900128</v>
      </c>
      <c r="V53" s="26">
        <f t="shared" si="7"/>
        <v>0.504</v>
      </c>
      <c r="W53" s="26"/>
      <c r="X53" s="27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2:57" ht="12">
      <c r="B54" s="1">
        <v>7</v>
      </c>
      <c r="C54" s="9">
        <v>4</v>
      </c>
      <c r="D54" s="53">
        <f t="shared" si="0"/>
        <v>0.087497221</v>
      </c>
      <c r="E54" s="53">
        <f t="shared" si="1"/>
        <v>14.74523765</v>
      </c>
      <c r="F54" s="53">
        <f t="shared" si="2"/>
        <v>0.623990068886604</v>
      </c>
      <c r="G54" s="9">
        <f t="shared" si="3"/>
        <v>0.010399504182700268</v>
      </c>
      <c r="H54" s="9">
        <f t="shared" si="4"/>
        <v>0.15334316061608447</v>
      </c>
      <c r="I54" s="9">
        <f t="shared" si="5"/>
        <v>0.07858879595638664</v>
      </c>
      <c r="J54"/>
      <c r="K54"/>
      <c r="L54"/>
      <c r="N54"/>
      <c r="O54" s="20"/>
      <c r="T54" s="1">
        <v>5</v>
      </c>
      <c r="U54" s="18">
        <f t="shared" si="6"/>
        <v>0.36</v>
      </c>
      <c r="V54" s="26">
        <f t="shared" si="7"/>
        <v>0.48</v>
      </c>
      <c r="W54" s="26"/>
      <c r="X54" s="27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2:57" ht="12">
      <c r="B55" s="1">
        <v>8</v>
      </c>
      <c r="C55" s="9">
        <v>2</v>
      </c>
      <c r="D55" s="53">
        <f t="shared" si="0"/>
        <v>0.09999682400000001</v>
      </c>
      <c r="E55" s="53">
        <f t="shared" si="1"/>
        <v>13.610988599999999</v>
      </c>
      <c r="F55" s="53">
        <f t="shared" si="2"/>
        <v>0.66331538197124</v>
      </c>
      <c r="G55" s="9">
        <f t="shared" si="3"/>
        <v>0.0055274526256225715</v>
      </c>
      <c r="H55" s="9">
        <f t="shared" si="4"/>
        <v>0.07523409467438888</v>
      </c>
      <c r="I55" s="9">
        <f t="shared" si="5"/>
        <v>0.037617286280679126</v>
      </c>
      <c r="J55"/>
      <c r="K55"/>
      <c r="L55"/>
      <c r="N55"/>
      <c r="O55" s="20"/>
      <c r="T55" s="1">
        <v>6</v>
      </c>
      <c r="U55" s="18">
        <f t="shared" si="6"/>
        <v>0.38995384342252615</v>
      </c>
      <c r="V55" s="26">
        <f t="shared" si="7"/>
        <v>0.45599999999999996</v>
      </c>
      <c r="W55" s="26"/>
      <c r="X55" s="27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2:24" ht="12">
      <c r="B56" s="1">
        <v>9</v>
      </c>
      <c r="C56" s="9">
        <v>4</v>
      </c>
      <c r="D56" s="53">
        <f t="shared" si="0"/>
        <v>0.11249642700000001</v>
      </c>
      <c r="E56" s="53">
        <f t="shared" si="1"/>
        <v>12.476739550000001</v>
      </c>
      <c r="F56" s="53">
        <f t="shared" si="2"/>
        <v>0.6995434691632356</v>
      </c>
      <c r="G56" s="9">
        <f t="shared" si="3"/>
        <v>0.011658687527710918</v>
      </c>
      <c r="H56" s="9">
        <f t="shared" si="4"/>
        <v>0.14546240777808253</v>
      </c>
      <c r="I56" s="9">
        <f t="shared" si="5"/>
        <v>0.07091344352899823</v>
      </c>
      <c r="J56"/>
      <c r="K56"/>
      <c r="L56"/>
      <c r="N56"/>
      <c r="O56" s="20"/>
      <c r="T56" s="1">
        <v>7</v>
      </c>
      <c r="U56" s="18">
        <f t="shared" si="6"/>
        <v>0.41638443774953937</v>
      </c>
      <c r="V56" s="26">
        <f t="shared" si="7"/>
        <v>0.43199999999999994</v>
      </c>
      <c r="W56" s="26"/>
      <c r="X56" s="27"/>
    </row>
    <row r="57" spans="2:24" ht="12">
      <c r="B57" s="66">
        <v>10</v>
      </c>
      <c r="C57" s="67">
        <v>2</v>
      </c>
      <c r="D57" s="53">
        <f t="shared" si="0"/>
        <v>0.12499603000000001</v>
      </c>
      <c r="E57" s="53">
        <f t="shared" si="1"/>
        <v>11.3424905</v>
      </c>
      <c r="F57" s="53">
        <f>2*SQRT(C$12^2/4-(C$12/2-D57)^2)</f>
        <v>0.7331336262489646</v>
      </c>
      <c r="G57" s="9">
        <f>F57*D$67/B$67*(C57/3)</f>
        <v>0.006109252849374958</v>
      </c>
      <c r="H57" s="9">
        <f>G57*E57</f>
        <v>0.0692941424061334</v>
      </c>
      <c r="I57" s="9">
        <f>H57*(C$12/2-D57)</f>
        <v>0.03291499274065871</v>
      </c>
      <c r="J57"/>
      <c r="K57"/>
      <c r="L57"/>
      <c r="N57"/>
      <c r="O57" s="20"/>
      <c r="T57" s="1">
        <v>8</v>
      </c>
      <c r="U57" s="18">
        <f t="shared" si="6"/>
        <v>0.43992726671576066</v>
      </c>
      <c r="V57" s="26">
        <f t="shared" si="7"/>
        <v>0.408</v>
      </c>
      <c r="W57" s="26"/>
      <c r="X57" s="27"/>
    </row>
    <row r="58" spans="2:24" ht="12">
      <c r="B58" s="1">
        <v>11</v>
      </c>
      <c r="C58" s="9">
        <v>4</v>
      </c>
      <c r="D58" s="53">
        <f t="shared" si="0"/>
        <v>0.137495633</v>
      </c>
      <c r="E58" s="53">
        <f t="shared" si="1"/>
        <v>10.208241450000001</v>
      </c>
      <c r="F58" s="53">
        <f t="shared" si="2"/>
        <v>0.7644336740513968</v>
      </c>
      <c r="G58" s="9">
        <f t="shared" si="3"/>
        <v>0.01274015659396515</v>
      </c>
      <c r="H58" s="9">
        <f t="shared" si="4"/>
        <v>0.1300545946220059</v>
      </c>
      <c r="I58" s="9">
        <f t="shared" si="5"/>
        <v>0.06015081796109243</v>
      </c>
      <c r="J58"/>
      <c r="K58"/>
      <c r="L58"/>
      <c r="N58"/>
      <c r="O58" s="20"/>
      <c r="T58" s="1">
        <v>9</v>
      </c>
      <c r="U58" s="18">
        <f t="shared" si="6"/>
        <v>0.46102494509516506</v>
      </c>
      <c r="V58" s="26">
        <f t="shared" si="7"/>
        <v>0.384</v>
      </c>
      <c r="W58" s="26"/>
      <c r="X58" s="27"/>
    </row>
    <row r="59" spans="2:24" ht="12">
      <c r="B59" s="1">
        <v>12</v>
      </c>
      <c r="C59" s="9">
        <v>2</v>
      </c>
      <c r="D59" s="53">
        <f t="shared" si="0"/>
        <v>0.149995236</v>
      </c>
      <c r="E59" s="53">
        <f t="shared" si="1"/>
        <v>9.073992400000002</v>
      </c>
      <c r="F59" s="53">
        <f t="shared" si="2"/>
        <v>0.7937145894521639</v>
      </c>
      <c r="G59" s="9">
        <f t="shared" si="3"/>
        <v>0.006614078175640024</v>
      </c>
      <c r="H59" s="9">
        <f t="shared" si="4"/>
        <v>0.060016095098763454</v>
      </c>
      <c r="I59" s="9">
        <f t="shared" si="5"/>
        <v>0.027007528711120606</v>
      </c>
      <c r="J59"/>
      <c r="K59"/>
      <c r="L59"/>
      <c r="N59"/>
      <c r="O59" s="20"/>
      <c r="T59" s="1">
        <v>10</v>
      </c>
      <c r="U59" s="18">
        <f t="shared" si="6"/>
        <v>0.48</v>
      </c>
      <c r="V59" s="26">
        <f t="shared" si="7"/>
        <v>0.36</v>
      </c>
      <c r="W59" s="26"/>
      <c r="X59" s="27"/>
    </row>
    <row r="60" spans="2:24" ht="12">
      <c r="B60" s="1">
        <v>13</v>
      </c>
      <c r="C60" s="9">
        <v>4</v>
      </c>
      <c r="D60" s="53">
        <f t="shared" si="0"/>
        <v>0.162494839</v>
      </c>
      <c r="E60" s="53">
        <f t="shared" si="1"/>
        <v>7.939743350000001</v>
      </c>
      <c r="F60" s="53">
        <f t="shared" si="2"/>
        <v>0.8211923869553689</v>
      </c>
      <c r="G60" s="9">
        <f t="shared" si="3"/>
        <v>0.013686105098085988</v>
      </c>
      <c r="H60" s="9">
        <f t="shared" si="4"/>
        <v>0.10866416193992934</v>
      </c>
      <c r="I60" s="9">
        <f t="shared" si="5"/>
        <v>0.047541131664458856</v>
      </c>
      <c r="J60"/>
      <c r="K60"/>
      <c r="L60"/>
      <c r="N60"/>
      <c r="O60" s="20"/>
      <c r="T60" s="1">
        <v>11</v>
      </c>
      <c r="U60" s="18">
        <f t="shared" si="6"/>
        <v>0.4970955642529915</v>
      </c>
      <c r="V60" s="26">
        <f t="shared" si="7"/>
        <v>0.33599999999999997</v>
      </c>
      <c r="W60" s="26"/>
      <c r="X60" s="27"/>
    </row>
    <row r="61" spans="2:24" ht="12">
      <c r="B61" s="1">
        <v>14</v>
      </c>
      <c r="C61" s="9">
        <v>2</v>
      </c>
      <c r="D61" s="53">
        <f t="shared" si="0"/>
        <v>0.174994442</v>
      </c>
      <c r="E61" s="53">
        <f t="shared" si="1"/>
        <v>6.805494300000001</v>
      </c>
      <c r="F61" s="53">
        <f t="shared" si="2"/>
        <v>0.8470425624940193</v>
      </c>
      <c r="G61" s="9">
        <f t="shared" si="3"/>
        <v>0.007058463836851954</v>
      </c>
      <c r="H61" s="9">
        <f t="shared" si="4"/>
        <v>0.04803633540845211</v>
      </c>
      <c r="I61" s="9">
        <f t="shared" si="5"/>
        <v>0.020415709534544347</v>
      </c>
      <c r="J61"/>
      <c r="K61"/>
      <c r="L61"/>
      <c r="N61"/>
      <c r="O61" s="20"/>
      <c r="T61" s="1">
        <v>12</v>
      </c>
      <c r="U61" s="18">
        <f t="shared" si="6"/>
        <v>0.512499756097503</v>
      </c>
      <c r="V61" s="26">
        <f t="shared" si="7"/>
        <v>0.312</v>
      </c>
      <c r="W61" s="26"/>
      <c r="X61" s="27"/>
    </row>
    <row r="62" spans="2:24" ht="12">
      <c r="B62" s="1">
        <v>15</v>
      </c>
      <c r="C62" s="9">
        <v>4</v>
      </c>
      <c r="D62" s="53">
        <f t="shared" si="0"/>
        <v>0.187494045</v>
      </c>
      <c r="E62" s="53">
        <f t="shared" si="1"/>
        <v>5.671245250000001</v>
      </c>
      <c r="F62" s="53">
        <f t="shared" si="2"/>
        <v>0.871409977196814</v>
      </c>
      <c r="G62" s="9">
        <f t="shared" si="3"/>
        <v>0.014523038353598972</v>
      </c>
      <c r="H62" s="9">
        <f t="shared" si="4"/>
        <v>0.082363712278416</v>
      </c>
      <c r="I62" s="9">
        <f t="shared" si="5"/>
        <v>0.03397552179075322</v>
      </c>
      <c r="J62"/>
      <c r="K62"/>
      <c r="L62"/>
      <c r="N62"/>
      <c r="O62" s="20"/>
      <c r="T62" s="1">
        <v>13</v>
      </c>
      <c r="U62" s="18">
        <f t="shared" si="6"/>
        <v>0.5263610927870713</v>
      </c>
      <c r="V62" s="26">
        <f t="shared" si="7"/>
        <v>0.288</v>
      </c>
      <c r="W62" s="26"/>
      <c r="X62" s="27"/>
    </row>
    <row r="63" spans="2:24" ht="12">
      <c r="B63" s="1">
        <v>16</v>
      </c>
      <c r="C63" s="9">
        <v>2</v>
      </c>
      <c r="D63" s="53">
        <f t="shared" si="0"/>
        <v>0.19999364800000002</v>
      </c>
      <c r="E63" s="53">
        <f t="shared" si="1"/>
        <v>4.5369962</v>
      </c>
      <c r="F63" s="53">
        <f t="shared" si="2"/>
        <v>0.8944158280344822</v>
      </c>
      <c r="G63" s="9">
        <f t="shared" si="3"/>
        <v>0.007453228511564864</v>
      </c>
      <c r="H63" s="9">
        <f t="shared" si="4"/>
        <v>0.033815269434701443</v>
      </c>
      <c r="I63" s="9">
        <f t="shared" si="5"/>
        <v>0.013526322568472025</v>
      </c>
      <c r="J63"/>
      <c r="K63"/>
      <c r="L63"/>
      <c r="N63"/>
      <c r="O63" s="20"/>
      <c r="T63" s="1">
        <v>14</v>
      </c>
      <c r="U63" s="18">
        <f t="shared" si="6"/>
        <v>0.5387986636954476</v>
      </c>
      <c r="V63" s="26">
        <f t="shared" si="7"/>
        <v>0.26399999999999996</v>
      </c>
      <c r="W63" s="26"/>
      <c r="X63" s="27"/>
    </row>
    <row r="64" spans="2:24" ht="12">
      <c r="B64" s="1">
        <v>17</v>
      </c>
      <c r="C64" s="9">
        <v>4</v>
      </c>
      <c r="D64" s="53">
        <f t="shared" si="0"/>
        <v>0.212493251</v>
      </c>
      <c r="E64" s="53">
        <f t="shared" si="1"/>
        <v>3.4027471500000015</v>
      </c>
      <c r="F64" s="53">
        <f t="shared" si="2"/>
        <v>0.9161626918390663</v>
      </c>
      <c r="G64" s="9">
        <f t="shared" si="3"/>
        <v>0.015268893241866224</v>
      </c>
      <c r="H64" s="9">
        <f t="shared" si="4"/>
        <v>0.051956182962414575</v>
      </c>
      <c r="I64" s="9">
        <f t="shared" si="5"/>
        <v>0.02013337155021446</v>
      </c>
      <c r="J64"/>
      <c r="K64"/>
      <c r="L64"/>
      <c r="N64"/>
      <c r="O64" s="20"/>
      <c r="T64" s="1">
        <v>15</v>
      </c>
      <c r="U64" s="18">
        <f t="shared" si="6"/>
        <v>0.5499090833947008</v>
      </c>
      <c r="V64" s="26">
        <f t="shared" si="7"/>
        <v>0.24</v>
      </c>
      <c r="W64" s="26"/>
      <c r="X64" s="27"/>
    </row>
    <row r="65" spans="2:24" ht="12">
      <c r="B65" s="1">
        <v>18</v>
      </c>
      <c r="C65" s="9">
        <v>2</v>
      </c>
      <c r="D65" s="53">
        <f t="shared" si="0"/>
        <v>0.22499285400000002</v>
      </c>
      <c r="E65" s="53">
        <f t="shared" si="1"/>
        <v>2.2684981</v>
      </c>
      <c r="F65" s="53">
        <f t="shared" si="2"/>
        <v>0.9367382568229712</v>
      </c>
      <c r="G65" s="9">
        <f t="shared" si="3"/>
        <v>0.007805904216799454</v>
      </c>
      <c r="H65" s="9">
        <f t="shared" si="4"/>
        <v>0.01770767888459155</v>
      </c>
      <c r="I65" s="9">
        <f t="shared" si="5"/>
        <v>0.0066405061207951395</v>
      </c>
      <c r="J65"/>
      <c r="K65"/>
      <c r="L65"/>
      <c r="N65"/>
      <c r="O65" s="20"/>
      <c r="T65" s="1">
        <v>16</v>
      </c>
      <c r="U65" s="18">
        <f t="shared" si="6"/>
        <v>0.5597713819051489</v>
      </c>
      <c r="V65" s="26">
        <f t="shared" si="7"/>
        <v>0.21599999999999997</v>
      </c>
      <c r="W65" s="26"/>
      <c r="X65" s="27"/>
    </row>
    <row r="66" spans="2:24" ht="12">
      <c r="B66" s="1">
        <v>19</v>
      </c>
      <c r="C66" s="9">
        <v>4</v>
      </c>
      <c r="D66" s="53">
        <f t="shared" si="0"/>
        <v>0.237492457</v>
      </c>
      <c r="E66" s="53">
        <f t="shared" si="1"/>
        <v>1.1342490500000024</v>
      </c>
      <c r="F66" s="53">
        <f t="shared" si="2"/>
        <v>0.9562181367619068</v>
      </c>
      <c r="G66" s="9">
        <f t="shared" si="3"/>
        <v>0.015936462787898054</v>
      </c>
      <c r="H66" s="9">
        <f t="shared" si="4"/>
        <v>0.018075917777533757</v>
      </c>
      <c r="I66" s="9">
        <f t="shared" si="5"/>
        <v>0.006552656541003782</v>
      </c>
      <c r="J66"/>
      <c r="K66"/>
      <c r="L66"/>
      <c r="N66"/>
      <c r="O66" s="20"/>
      <c r="T66" s="1">
        <v>17</v>
      </c>
      <c r="U66" s="18">
        <f t="shared" si="6"/>
        <v>0.5684505255516965</v>
      </c>
      <c r="V66" s="26">
        <f t="shared" si="7"/>
        <v>0.19199999999999995</v>
      </c>
      <c r="W66" s="26"/>
      <c r="X66" s="27"/>
    </row>
    <row r="67" spans="2:24" ht="12">
      <c r="B67" s="1">
        <v>20</v>
      </c>
      <c r="C67" s="49">
        <v>1</v>
      </c>
      <c r="D67" s="54">
        <f t="shared" si="0"/>
        <v>0.24999206000000002</v>
      </c>
      <c r="E67" s="54">
        <f t="shared" si="1"/>
        <v>0</v>
      </c>
      <c r="F67" s="54">
        <f t="shared" si="2"/>
        <v>0.9746680295094456</v>
      </c>
      <c r="G67" s="49">
        <f t="shared" si="3"/>
        <v>0.004060987808553452</v>
      </c>
      <c r="H67" s="49">
        <f t="shared" si="4"/>
        <v>0</v>
      </c>
      <c r="I67" s="49">
        <f t="shared" si="5"/>
        <v>0</v>
      </c>
      <c r="J67"/>
      <c r="K67"/>
      <c r="L67"/>
      <c r="N67"/>
      <c r="O67" s="20"/>
      <c r="T67" s="1">
        <v>18</v>
      </c>
      <c r="U67" s="18">
        <f t="shared" si="6"/>
        <v>0.5760000000000001</v>
      </c>
      <c r="V67" s="26">
        <f t="shared" si="7"/>
        <v>0.16799999999999998</v>
      </c>
      <c r="W67" s="26"/>
      <c r="X67" s="27"/>
    </row>
    <row r="68" spans="6:24" ht="12">
      <c r="F68" s="10" t="s">
        <v>84</v>
      </c>
      <c r="G68" s="58">
        <f>SUM(G47:G67)</f>
        <v>0.17044368282460562</v>
      </c>
      <c r="H68" s="58">
        <f>SUM(H47:H67)</f>
        <v>1.574656214219562</v>
      </c>
      <c r="I68" s="58">
        <f>SUM(I47:I67)</f>
        <v>0.7779320882910506</v>
      </c>
      <c r="J68"/>
      <c r="K68"/>
      <c r="L68"/>
      <c r="N68"/>
      <c r="O68" s="20"/>
      <c r="T68" s="1">
        <v>19</v>
      </c>
      <c r="U68" s="18">
        <f t="shared" si="6"/>
        <v>0.5824637327765567</v>
      </c>
      <c r="V68" s="26">
        <f t="shared" si="7"/>
        <v>0.14400000000000002</v>
      </c>
      <c r="W68" s="26"/>
      <c r="X68" s="27"/>
    </row>
    <row r="69" spans="10:24" ht="12">
      <c r="J69"/>
      <c r="K69"/>
      <c r="L69"/>
      <c r="N69"/>
      <c r="O69" s="20"/>
      <c r="T69" s="1">
        <v>20</v>
      </c>
      <c r="U69" s="18">
        <f t="shared" si="6"/>
        <v>0.5878775382679627</v>
      </c>
      <c r="V69" s="26">
        <f t="shared" si="7"/>
        <v>0.12</v>
      </c>
      <c r="W69" s="26"/>
      <c r="X69" s="27"/>
    </row>
    <row r="70" spans="3:24" ht="13.5">
      <c r="C70" s="21"/>
      <c r="D70" s="21" t="s">
        <v>20</v>
      </c>
      <c r="E70" s="51" t="s">
        <v>90</v>
      </c>
      <c r="F70" s="50" t="s">
        <v>101</v>
      </c>
      <c r="G70" s="21"/>
      <c r="H70" s="21" t="s">
        <v>91</v>
      </c>
      <c r="I70" s="21" t="s">
        <v>94</v>
      </c>
      <c r="J70"/>
      <c r="K70"/>
      <c r="L70"/>
      <c r="N70"/>
      <c r="O70" s="20"/>
      <c r="T70" s="1">
        <v>21</v>
      </c>
      <c r="U70" s="18">
        <f t="shared" si="6"/>
        <v>0.5922702086041471</v>
      </c>
      <c r="V70" s="26">
        <f t="shared" si="7"/>
        <v>0.09599999999999997</v>
      </c>
      <c r="W70" s="26"/>
      <c r="X70" s="27"/>
    </row>
    <row r="71" spans="2:24" ht="13.5">
      <c r="B71" s="1">
        <v>1</v>
      </c>
      <c r="C71" s="7"/>
      <c r="D71" s="52">
        <f aca="true" t="shared" si="8" ref="D71:D90">IF(B71&lt;=C$15,C$12/2+(C$12/2-C$18)*COS((B71-1)*2*PI()/C$15),"")</f>
        <v>1.12</v>
      </c>
      <c r="E71" s="63">
        <f>IF(B71&gt;C$15,"",IF(B$28="EC",B$31+(B$32-B$31)*D71/C$12,B$31*(B$29-D71)/B$29)*C$19)</f>
        <v>-1578.9392342100098</v>
      </c>
      <c r="F71" s="55">
        <f>IF(B71&gt;C$15,"",C$19*J$13/10000*(D71-C$12/2)^2)</f>
        <v>0.0006116303905420899</v>
      </c>
      <c r="G71" s="7"/>
      <c r="H71" s="7">
        <f>IF(B71&lt;=C$15,E71*J$13/10000,"")</f>
        <v>-0.17857382035171898</v>
      </c>
      <c r="I71" s="60">
        <f aca="true" t="shared" si="9" ref="I71:I90">IF(B71&lt;=C$15,H71*(C$12/2-D71),"")</f>
        <v>0.09285838658289389</v>
      </c>
      <c r="J71"/>
      <c r="K71"/>
      <c r="L71"/>
      <c r="N71"/>
      <c r="O71" s="20"/>
      <c r="T71" s="1">
        <v>22</v>
      </c>
      <c r="U71" s="18">
        <f t="shared" si="6"/>
        <v>0.5956643350075611</v>
      </c>
      <c r="V71" s="26">
        <f t="shared" si="7"/>
        <v>0.07199999999999995</v>
      </c>
      <c r="W71" s="26"/>
      <c r="X71" s="27"/>
    </row>
    <row r="72" spans="2:24" ht="13.5">
      <c r="B72" s="1">
        <v>2</v>
      </c>
      <c r="C72" s="9"/>
      <c r="D72" s="53">
        <f t="shared" si="8"/>
        <v>0.9676955262170047</v>
      </c>
      <c r="E72" s="64">
        <f aca="true" t="shared" si="10" ref="E72:E90">IF(B72&gt;C$15,"",IF(B$28="EC",B$31+(B$32-B$31)*D72/C$12,B$31*(B$29-D72)/B$29)*C$19)</f>
        <v>-1302.528527887397</v>
      </c>
      <c r="F72" s="55">
        <f>IF(B72&gt;C$15,"",C$19*J$13/10000*(D72-C$12/2)^2)</f>
        <v>0.00030581519527104486</v>
      </c>
      <c r="G72" s="9"/>
      <c r="H72" s="9">
        <f aca="true" t="shared" si="11" ref="H72:H90">IF(B72&lt;=C$15,E72*J$13/10000,"")</f>
        <v>-0.1473125059548783</v>
      </c>
      <c r="I72" s="61">
        <f t="shared" si="9"/>
        <v>0.05416614939542462</v>
      </c>
      <c r="J72"/>
      <c r="K72"/>
      <c r="L72"/>
      <c r="N72"/>
      <c r="O72" s="20"/>
      <c r="T72" s="1">
        <v>23</v>
      </c>
      <c r="U72" s="18">
        <f t="shared" si="6"/>
        <v>0.5980769181301014</v>
      </c>
      <c r="V72" s="26">
        <f t="shared" si="7"/>
        <v>0.04799999999999993</v>
      </c>
      <c r="W72" s="26"/>
      <c r="X72" s="27"/>
    </row>
    <row r="73" spans="2:24" ht="13.5">
      <c r="B73" s="1">
        <v>3</v>
      </c>
      <c r="C73" s="9"/>
      <c r="D73" s="53">
        <f t="shared" si="8"/>
        <v>0.6</v>
      </c>
      <c r="E73" s="64">
        <f t="shared" si="10"/>
        <v>-635.2140518982194</v>
      </c>
      <c r="F73" s="55">
        <f aca="true" t="shared" si="12" ref="F73:F90">IF(B73&gt;C$15,"",C$19*J$13/10000*(D73-C$12/2)^2)</f>
        <v>0</v>
      </c>
      <c r="G73" s="9"/>
      <c r="H73" s="9">
        <f t="shared" si="11"/>
        <v>-0.07184101676041627</v>
      </c>
      <c r="I73" s="61">
        <f t="shared" si="9"/>
        <v>0</v>
      </c>
      <c r="J73"/>
      <c r="K73"/>
      <c r="L73"/>
      <c r="N73"/>
      <c r="O73" s="20"/>
      <c r="T73" s="1">
        <v>24</v>
      </c>
      <c r="U73" s="18">
        <f t="shared" si="6"/>
        <v>0.5995198078462461</v>
      </c>
      <c r="V73" s="26">
        <f t="shared" si="7"/>
        <v>0.02400000000000002</v>
      </c>
      <c r="W73" s="26"/>
      <c r="X73" s="27"/>
    </row>
    <row r="74" spans="2:24" ht="13.5">
      <c r="B74" s="1">
        <v>4</v>
      </c>
      <c r="C74" s="9"/>
      <c r="D74" s="53">
        <f t="shared" si="8"/>
        <v>0.2323044737829953</v>
      </c>
      <c r="E74" s="64">
        <f t="shared" si="10"/>
        <v>32.100424090958256</v>
      </c>
      <c r="F74" s="55">
        <f t="shared" si="12"/>
        <v>0.0003058151952710448</v>
      </c>
      <c r="G74" s="9"/>
      <c r="H74" s="9">
        <f t="shared" si="11"/>
        <v>0.003630472434045766</v>
      </c>
      <c r="I74" s="61">
        <f t="shared" si="9"/>
        <v>0.0013349084720527878</v>
      </c>
      <c r="J74"/>
      <c r="K74"/>
      <c r="L74"/>
      <c r="N74"/>
      <c r="O74" s="20"/>
      <c r="T74" s="1">
        <v>25</v>
      </c>
      <c r="U74" s="18">
        <f t="shared" si="6"/>
        <v>0.6</v>
      </c>
      <c r="V74" s="26">
        <f t="shared" si="7"/>
        <v>0</v>
      </c>
      <c r="W74" s="26"/>
      <c r="X74" s="27"/>
    </row>
    <row r="75" spans="2:24" ht="13.5">
      <c r="B75" s="1">
        <v>5</v>
      </c>
      <c r="C75" s="9"/>
      <c r="D75" s="53">
        <f t="shared" si="8"/>
        <v>0.07999999999999996</v>
      </c>
      <c r="E75" s="64">
        <f t="shared" si="10"/>
        <v>308.51113041357087</v>
      </c>
      <c r="F75" s="55">
        <f t="shared" si="12"/>
        <v>0.0006116303905420897</v>
      </c>
      <c r="G75" s="9"/>
      <c r="H75" s="9">
        <f t="shared" si="11"/>
        <v>0.034891786830886444</v>
      </c>
      <c r="I75" s="61">
        <f t="shared" si="9"/>
        <v>0.01814372915206095</v>
      </c>
      <c r="J75"/>
      <c r="K75"/>
      <c r="L75"/>
      <c r="N75"/>
      <c r="O75" s="20"/>
      <c r="T75" s="1">
        <v>26</v>
      </c>
      <c r="U75" s="18">
        <f t="shared" si="6"/>
        <v>0.5995198078462461</v>
      </c>
      <c r="V75" s="26">
        <f t="shared" si="7"/>
        <v>-0.02400000000000002</v>
      </c>
      <c r="W75" s="26"/>
      <c r="X75" s="27"/>
    </row>
    <row r="76" spans="2:24" ht="13.5">
      <c r="B76" s="1">
        <v>6</v>
      </c>
      <c r="C76" s="9"/>
      <c r="D76" s="53">
        <f t="shared" si="8"/>
        <v>0.23230447378299518</v>
      </c>
      <c r="E76" s="64">
        <f t="shared" si="10"/>
        <v>32.100424090958455</v>
      </c>
      <c r="F76" s="55">
        <f t="shared" si="12"/>
        <v>0.00030581519527104496</v>
      </c>
      <c r="G76" s="9"/>
      <c r="H76" s="9">
        <f t="shared" si="11"/>
        <v>0.003630472434045788</v>
      </c>
      <c r="I76" s="61">
        <f t="shared" si="9"/>
        <v>0.0013349084720527963</v>
      </c>
      <c r="J76"/>
      <c r="K76"/>
      <c r="L76"/>
      <c r="N76"/>
      <c r="O76" s="20"/>
      <c r="T76" s="1">
        <v>27</v>
      </c>
      <c r="U76" s="18">
        <f t="shared" si="6"/>
        <v>0.5980769181301013</v>
      </c>
      <c r="V76" s="26">
        <f t="shared" si="7"/>
        <v>-0.04800000000000004</v>
      </c>
      <c r="W76" s="26"/>
      <c r="X76" s="27"/>
    </row>
    <row r="77" spans="2:24" ht="13.5">
      <c r="B77" s="1">
        <v>7</v>
      </c>
      <c r="C77" s="9"/>
      <c r="D77" s="53">
        <f t="shared" si="8"/>
        <v>0.5999999999999999</v>
      </c>
      <c r="E77" s="64">
        <f t="shared" si="10"/>
        <v>-635.2140518982192</v>
      </c>
      <c r="F77" s="55">
        <f t="shared" si="12"/>
        <v>2.78806457761484E-35</v>
      </c>
      <c r="G77" s="9"/>
      <c r="H77" s="9">
        <f t="shared" si="11"/>
        <v>-0.07184101676041624</v>
      </c>
      <c r="I77" s="9">
        <f t="shared" si="9"/>
        <v>-7.975955091989588E-18</v>
      </c>
      <c r="J77"/>
      <c r="K77"/>
      <c r="L77"/>
      <c r="N77"/>
      <c r="O77" s="20"/>
      <c r="T77" s="1">
        <v>28</v>
      </c>
      <c r="U77" s="18">
        <f t="shared" si="6"/>
        <v>0.5956643350075611</v>
      </c>
      <c r="V77" s="26">
        <f t="shared" si="7"/>
        <v>-0.07200000000000006</v>
      </c>
      <c r="W77" s="26"/>
      <c r="X77" s="27"/>
    </row>
    <row r="78" spans="2:24" ht="13.5">
      <c r="B78" s="1">
        <v>8</v>
      </c>
      <c r="C78" s="9"/>
      <c r="D78" s="53">
        <f t="shared" si="8"/>
        <v>0.9676955262170046</v>
      </c>
      <c r="E78" s="64">
        <f t="shared" si="10"/>
        <v>-1302.5285278873966</v>
      </c>
      <c r="F78" s="55">
        <f t="shared" si="12"/>
        <v>0.00030581519527104464</v>
      </c>
      <c r="G78" s="9"/>
      <c r="H78" s="9">
        <f t="shared" si="11"/>
        <v>-0.14731250595487824</v>
      </c>
      <c r="I78" s="9">
        <f t="shared" si="9"/>
        <v>0.054166149395424586</v>
      </c>
      <c r="J78"/>
      <c r="K78"/>
      <c r="L78"/>
      <c r="N78"/>
      <c r="O78" s="20"/>
      <c r="T78" s="1">
        <v>29</v>
      </c>
      <c r="U78" s="18">
        <f t="shared" si="6"/>
        <v>0.5922702086041471</v>
      </c>
      <c r="V78" s="26">
        <f t="shared" si="7"/>
        <v>-0.09599999999999997</v>
      </c>
      <c r="W78" s="26"/>
      <c r="X78" s="27"/>
    </row>
    <row r="79" spans="2:24" ht="13.5">
      <c r="B79" s="1">
        <v>9</v>
      </c>
      <c r="C79" s="9"/>
      <c r="D79" s="53">
        <f t="shared" si="8"/>
      </c>
      <c r="E79" s="64">
        <f t="shared" si="10"/>
      </c>
      <c r="F79" s="55">
        <f t="shared" si="12"/>
      </c>
      <c r="G79" s="9"/>
      <c r="H79" s="9">
        <f t="shared" si="11"/>
      </c>
      <c r="I79" s="9">
        <f t="shared" si="9"/>
      </c>
      <c r="J79"/>
      <c r="K79"/>
      <c r="L79"/>
      <c r="N79"/>
      <c r="O79" s="20"/>
      <c r="T79" s="1">
        <v>30</v>
      </c>
      <c r="U79" s="18">
        <f t="shared" si="6"/>
        <v>0.5878775382679627</v>
      </c>
      <c r="V79" s="26">
        <f t="shared" si="7"/>
        <v>-0.12</v>
      </c>
      <c r="W79" s="26"/>
      <c r="X79" s="27"/>
    </row>
    <row r="80" spans="2:24" ht="13.5">
      <c r="B80" s="1">
        <v>10</v>
      </c>
      <c r="C80" s="9"/>
      <c r="D80" s="53">
        <f t="shared" si="8"/>
      </c>
      <c r="E80" s="64">
        <f t="shared" si="10"/>
      </c>
      <c r="F80" s="55">
        <f t="shared" si="12"/>
      </c>
      <c r="G80" s="9"/>
      <c r="H80" s="9">
        <f t="shared" si="11"/>
      </c>
      <c r="I80" s="9">
        <f t="shared" si="9"/>
      </c>
      <c r="J80"/>
      <c r="K80"/>
      <c r="L80"/>
      <c r="N80"/>
      <c r="O80" s="20"/>
      <c r="T80" s="1">
        <v>31</v>
      </c>
      <c r="U80" s="18">
        <f t="shared" si="6"/>
        <v>0.5824637327765567</v>
      </c>
      <c r="V80" s="26">
        <f t="shared" si="7"/>
        <v>-0.14400000000000002</v>
      </c>
      <c r="W80" s="26"/>
      <c r="X80" s="27"/>
    </row>
    <row r="81" spans="2:24" ht="13.5">
      <c r="B81" s="1">
        <v>11</v>
      </c>
      <c r="C81" s="9"/>
      <c r="D81" s="53">
        <f t="shared" si="8"/>
      </c>
      <c r="E81" s="64">
        <f t="shared" si="10"/>
      </c>
      <c r="F81" s="55">
        <f t="shared" si="12"/>
      </c>
      <c r="G81" s="9"/>
      <c r="H81" s="9">
        <f t="shared" si="11"/>
      </c>
      <c r="I81" s="9">
        <f t="shared" si="9"/>
      </c>
      <c r="J81"/>
      <c r="K81"/>
      <c r="L81"/>
      <c r="N81"/>
      <c r="O81" s="20"/>
      <c r="T81" s="1">
        <v>32</v>
      </c>
      <c r="U81" s="18">
        <f aca="true" t="shared" si="13" ref="U81:U99">SQRT(C$12^2/4-V81^2)</f>
        <v>0.576</v>
      </c>
      <c r="V81" s="26">
        <f aca="true" t="shared" si="14" ref="V81:V99">-T81/T$99*C$12+C$12/2</f>
        <v>-0.16800000000000004</v>
      </c>
      <c r="W81" s="26"/>
      <c r="X81" s="27"/>
    </row>
    <row r="82" spans="2:24" ht="13.5">
      <c r="B82" s="1">
        <v>12</v>
      </c>
      <c r="C82" s="9"/>
      <c r="D82" s="53">
        <f t="shared" si="8"/>
      </c>
      <c r="E82" s="64">
        <f t="shared" si="10"/>
      </c>
      <c r="F82" s="55">
        <f t="shared" si="12"/>
      </c>
      <c r="G82" s="9"/>
      <c r="H82" s="9">
        <f t="shared" si="11"/>
      </c>
      <c r="I82" s="9">
        <f t="shared" si="9"/>
      </c>
      <c r="J82"/>
      <c r="K82"/>
      <c r="L82"/>
      <c r="N82"/>
      <c r="O82" s="20"/>
      <c r="T82" s="1">
        <v>33</v>
      </c>
      <c r="U82" s="18">
        <f t="shared" si="13"/>
        <v>0.5684505255516965</v>
      </c>
      <c r="V82" s="26">
        <f t="shared" si="14"/>
        <v>-0.19200000000000006</v>
      </c>
      <c r="W82" s="26"/>
      <c r="X82" s="27"/>
    </row>
    <row r="83" spans="2:24" ht="13.5">
      <c r="B83" s="1">
        <v>13</v>
      </c>
      <c r="C83" s="9"/>
      <c r="D83" s="53">
        <f t="shared" si="8"/>
      </c>
      <c r="E83" s="64">
        <f t="shared" si="10"/>
      </c>
      <c r="F83" s="55">
        <f t="shared" si="12"/>
      </c>
      <c r="G83" s="9"/>
      <c r="H83" s="9">
        <f t="shared" si="11"/>
      </c>
      <c r="I83" s="9">
        <f t="shared" si="9"/>
      </c>
      <c r="J83"/>
      <c r="K83"/>
      <c r="L83"/>
      <c r="N83"/>
      <c r="O83" s="20"/>
      <c r="T83" s="1">
        <v>34</v>
      </c>
      <c r="U83" s="18">
        <f t="shared" si="13"/>
        <v>0.5597713819051489</v>
      </c>
      <c r="V83" s="26">
        <f t="shared" si="14"/>
        <v>-0.21600000000000008</v>
      </c>
      <c r="W83" s="26"/>
      <c r="X83" s="27"/>
    </row>
    <row r="84" spans="2:24" ht="13.5">
      <c r="B84" s="1">
        <v>14</v>
      </c>
      <c r="C84" s="9"/>
      <c r="D84" s="53">
        <f t="shared" si="8"/>
      </c>
      <c r="E84" s="64">
        <f t="shared" si="10"/>
      </c>
      <c r="F84" s="55">
        <f t="shared" si="12"/>
      </c>
      <c r="G84" s="9"/>
      <c r="H84" s="9">
        <f t="shared" si="11"/>
      </c>
      <c r="I84" s="9">
        <f t="shared" si="9"/>
      </c>
      <c r="J84"/>
      <c r="K84"/>
      <c r="L84"/>
      <c r="N84"/>
      <c r="O84" s="20"/>
      <c r="T84" s="1">
        <v>35</v>
      </c>
      <c r="U84" s="18">
        <f t="shared" si="13"/>
        <v>0.5499090833947008</v>
      </c>
      <c r="V84" s="26">
        <f t="shared" si="14"/>
        <v>-0.24</v>
      </c>
      <c r="W84" s="26"/>
      <c r="X84" s="27"/>
    </row>
    <row r="85" spans="2:24" ht="13.5">
      <c r="B85" s="1">
        <v>15</v>
      </c>
      <c r="C85" s="9"/>
      <c r="D85" s="53">
        <f t="shared" si="8"/>
      </c>
      <c r="E85" s="64">
        <f t="shared" si="10"/>
      </c>
      <c r="F85" s="55">
        <f t="shared" si="12"/>
      </c>
      <c r="G85" s="9"/>
      <c r="H85" s="9">
        <f t="shared" si="11"/>
      </c>
      <c r="I85" s="9">
        <f t="shared" si="9"/>
      </c>
      <c r="J85"/>
      <c r="K85"/>
      <c r="L85"/>
      <c r="N85"/>
      <c r="O85" s="20"/>
      <c r="T85" s="1">
        <v>36</v>
      </c>
      <c r="U85" s="18">
        <f t="shared" si="13"/>
        <v>0.5387986636954476</v>
      </c>
      <c r="V85" s="26">
        <f t="shared" si="14"/>
        <v>-0.264</v>
      </c>
      <c r="W85" s="26"/>
      <c r="X85" s="27"/>
    </row>
    <row r="86" spans="2:32" ht="13.5">
      <c r="B86" s="1">
        <v>16</v>
      </c>
      <c r="C86" s="9"/>
      <c r="D86" s="53">
        <f t="shared" si="8"/>
      </c>
      <c r="E86" s="64">
        <f t="shared" si="10"/>
      </c>
      <c r="F86" s="55">
        <f t="shared" si="12"/>
      </c>
      <c r="G86" s="9"/>
      <c r="H86" s="9">
        <f t="shared" si="11"/>
      </c>
      <c r="I86" s="9">
        <f t="shared" si="9"/>
      </c>
      <c r="K86"/>
      <c r="L86"/>
      <c r="N86"/>
      <c r="O86" s="20"/>
      <c r="T86" s="1">
        <v>37</v>
      </c>
      <c r="U86" s="18">
        <f t="shared" si="13"/>
        <v>0.5263610927870713</v>
      </c>
      <c r="V86" s="26">
        <f t="shared" si="14"/>
        <v>-0.28800000000000003</v>
      </c>
      <c r="W86" s="26"/>
      <c r="X86" s="27"/>
      <c r="AF86" s="15"/>
    </row>
    <row r="87" spans="2:24" ht="13.5">
      <c r="B87" s="1">
        <v>17</v>
      </c>
      <c r="C87" s="9"/>
      <c r="D87" s="53">
        <f t="shared" si="8"/>
      </c>
      <c r="E87" s="64">
        <f t="shared" si="10"/>
      </c>
      <c r="F87" s="55">
        <f t="shared" si="12"/>
      </c>
      <c r="G87" s="9"/>
      <c r="H87" s="9">
        <f t="shared" si="11"/>
      </c>
      <c r="I87" s="9">
        <f t="shared" si="9"/>
      </c>
      <c r="K87"/>
      <c r="L87"/>
      <c r="N87"/>
      <c r="O87" s="20"/>
      <c r="T87" s="1">
        <v>38</v>
      </c>
      <c r="U87" s="18">
        <f t="shared" si="13"/>
        <v>0.512499756097503</v>
      </c>
      <c r="V87" s="26">
        <f t="shared" si="14"/>
        <v>-0.31199999999999994</v>
      </c>
      <c r="W87" s="26"/>
      <c r="X87" s="27"/>
    </row>
    <row r="88" spans="2:24" ht="13.5">
      <c r="B88" s="1">
        <v>18</v>
      </c>
      <c r="C88" s="9"/>
      <c r="D88" s="53">
        <f t="shared" si="8"/>
      </c>
      <c r="E88" s="64">
        <f t="shared" si="10"/>
      </c>
      <c r="F88" s="55">
        <f t="shared" si="12"/>
      </c>
      <c r="G88" s="9"/>
      <c r="H88" s="9">
        <f t="shared" si="11"/>
      </c>
      <c r="I88" s="9">
        <f t="shared" si="9"/>
      </c>
      <c r="K88"/>
      <c r="L88"/>
      <c r="N88"/>
      <c r="O88" s="20"/>
      <c r="T88" s="1">
        <v>39</v>
      </c>
      <c r="U88" s="18">
        <f t="shared" si="13"/>
        <v>0.4970955642529915</v>
      </c>
      <c r="V88" s="26">
        <f t="shared" si="14"/>
        <v>-0.33599999999999997</v>
      </c>
      <c r="W88" s="26"/>
      <c r="X88" s="27"/>
    </row>
    <row r="89" spans="2:24" ht="13.5">
      <c r="B89" s="1">
        <v>19</v>
      </c>
      <c r="C89" s="9"/>
      <c r="D89" s="53">
        <f t="shared" si="8"/>
      </c>
      <c r="E89" s="64">
        <f t="shared" si="10"/>
      </c>
      <c r="F89" s="55">
        <f t="shared" si="12"/>
      </c>
      <c r="G89" s="9"/>
      <c r="H89" s="9">
        <f t="shared" si="11"/>
      </c>
      <c r="I89" s="9">
        <f t="shared" si="9"/>
      </c>
      <c r="K89"/>
      <c r="L89"/>
      <c r="T89" s="1">
        <v>40</v>
      </c>
      <c r="U89" s="18">
        <f t="shared" si="13"/>
        <v>0.48</v>
      </c>
      <c r="V89" s="26">
        <f t="shared" si="14"/>
        <v>-0.36</v>
      </c>
      <c r="W89" s="26"/>
      <c r="X89" s="27"/>
    </row>
    <row r="90" spans="2:24" ht="13.5">
      <c r="B90" s="1">
        <v>20</v>
      </c>
      <c r="C90" s="49"/>
      <c r="D90" s="54">
        <f t="shared" si="8"/>
      </c>
      <c r="E90" s="65">
        <f t="shared" si="10"/>
      </c>
      <c r="F90" s="56">
        <f t="shared" si="12"/>
      </c>
      <c r="G90" s="49"/>
      <c r="H90" s="49">
        <f t="shared" si="11"/>
      </c>
      <c r="I90" s="49">
        <f t="shared" si="9"/>
      </c>
      <c r="K90"/>
      <c r="L90"/>
      <c r="T90" s="1">
        <v>41</v>
      </c>
      <c r="U90" s="18">
        <f t="shared" si="13"/>
        <v>0.4610249450951652</v>
      </c>
      <c r="V90" s="26">
        <f t="shared" si="14"/>
        <v>-0.3839999999999999</v>
      </c>
      <c r="W90" s="26"/>
      <c r="X90" s="27"/>
    </row>
    <row r="91" spans="7:24" ht="13.5">
      <c r="G91" s="10" t="s">
        <v>84</v>
      </c>
      <c r="H91" s="21">
        <f>SUM(H71:H90)</f>
        <v>-0.57472813408333</v>
      </c>
      <c r="I91" s="62">
        <f>SUM(I71:I90)</f>
        <v>0.2220042314699096</v>
      </c>
      <c r="K91"/>
      <c r="L91"/>
      <c r="T91" s="1">
        <v>42</v>
      </c>
      <c r="U91" s="18">
        <f t="shared" si="13"/>
        <v>0.4399272667157606</v>
      </c>
      <c r="V91" s="26">
        <f t="shared" si="14"/>
        <v>-0.40800000000000003</v>
      </c>
      <c r="W91" s="26"/>
      <c r="X91" s="27"/>
    </row>
    <row r="92" spans="11:24" ht="12">
      <c r="K92"/>
      <c r="L92"/>
      <c r="T92" s="1">
        <v>43</v>
      </c>
      <c r="U92" s="18">
        <f t="shared" si="13"/>
        <v>0.41638443774953926</v>
      </c>
      <c r="V92" s="26">
        <f t="shared" si="14"/>
        <v>-0.43200000000000005</v>
      </c>
      <c r="W92" s="26"/>
      <c r="X92" s="27"/>
    </row>
    <row r="93" spans="11:24" ht="12">
      <c r="K93"/>
      <c r="L93"/>
      <c r="T93" s="1">
        <v>44</v>
      </c>
      <c r="U93" s="18">
        <f t="shared" si="13"/>
        <v>0.389953843422526</v>
      </c>
      <c r="V93" s="26">
        <f t="shared" si="14"/>
        <v>-0.45600000000000007</v>
      </c>
      <c r="W93" s="26"/>
      <c r="X93" s="27"/>
    </row>
    <row r="94" spans="11:24" ht="12">
      <c r="K94"/>
      <c r="L94"/>
      <c r="T94" s="1">
        <v>45</v>
      </c>
      <c r="U94" s="18">
        <f t="shared" si="13"/>
        <v>0.3599999999999999</v>
      </c>
      <c r="V94" s="26">
        <f t="shared" si="14"/>
        <v>-0.4800000000000001</v>
      </c>
      <c r="W94" s="26"/>
      <c r="X94" s="27"/>
    </row>
    <row r="95" spans="11:24" ht="12">
      <c r="K95"/>
      <c r="L95"/>
      <c r="T95" s="1">
        <v>46</v>
      </c>
      <c r="U95" s="18">
        <f t="shared" si="13"/>
        <v>0.3255518391900126</v>
      </c>
      <c r="V95" s="26">
        <f t="shared" si="14"/>
        <v>-0.5040000000000001</v>
      </c>
      <c r="W95" s="26"/>
      <c r="X95" s="27"/>
    </row>
    <row r="96" spans="11:24" ht="12">
      <c r="K96"/>
      <c r="L96"/>
      <c r="T96" s="1">
        <v>47</v>
      </c>
      <c r="U96" s="18">
        <f t="shared" si="13"/>
        <v>0.2849842100889101</v>
      </c>
      <c r="V96" s="26">
        <f t="shared" si="14"/>
        <v>-0.5279999999999999</v>
      </c>
      <c r="W96" s="26"/>
      <c r="X96" s="27"/>
    </row>
    <row r="97" spans="11:24" ht="12">
      <c r="K97"/>
      <c r="L97"/>
      <c r="T97" s="1">
        <v>48</v>
      </c>
      <c r="U97" s="18">
        <f t="shared" si="13"/>
        <v>0.23515101530718524</v>
      </c>
      <c r="V97" s="26">
        <f t="shared" si="14"/>
        <v>-0.5519999999999999</v>
      </c>
      <c r="W97" s="26"/>
      <c r="X97" s="27"/>
    </row>
    <row r="98" spans="11:24" ht="12">
      <c r="K98"/>
      <c r="L98"/>
      <c r="T98" s="1">
        <v>49</v>
      </c>
      <c r="U98" s="18">
        <f t="shared" si="13"/>
        <v>0.1680000000000001</v>
      </c>
      <c r="V98" s="26">
        <f t="shared" si="14"/>
        <v>-0.576</v>
      </c>
      <c r="W98" s="26"/>
      <c r="X98" s="27"/>
    </row>
    <row r="99" spans="11:24" ht="12">
      <c r="K99"/>
      <c r="L99"/>
      <c r="T99" s="1">
        <v>50</v>
      </c>
      <c r="U99" s="18">
        <f t="shared" si="13"/>
        <v>0</v>
      </c>
      <c r="V99" s="26">
        <f t="shared" si="14"/>
        <v>-0.6</v>
      </c>
      <c r="W99" s="26"/>
      <c r="X99" s="27"/>
    </row>
    <row r="100" spans="11:24" ht="12">
      <c r="K100"/>
      <c r="L100"/>
      <c r="U100" s="18"/>
      <c r="V100" s="26"/>
      <c r="W100" s="26"/>
      <c r="X100" s="27"/>
    </row>
    <row r="101" spans="11:24" ht="12">
      <c r="K101"/>
      <c r="L101"/>
      <c r="T101" s="1">
        <v>0</v>
      </c>
      <c r="U101" s="18">
        <f aca="true" t="shared" si="15" ref="U101:U132">-SQRT(C$12^2/4-V101^2)</f>
        <v>0</v>
      </c>
      <c r="V101" s="26">
        <f aca="true" t="shared" si="16" ref="V101:V132">-T101/T$151*C$12+C$12/2</f>
        <v>0.6</v>
      </c>
      <c r="W101" s="26"/>
      <c r="X101" s="27"/>
    </row>
    <row r="102" spans="11:24" ht="12">
      <c r="K102"/>
      <c r="L102"/>
      <c r="T102" s="1">
        <v>1</v>
      </c>
      <c r="U102" s="18">
        <f t="shared" si="15"/>
        <v>-0.1680000000000001</v>
      </c>
      <c r="V102" s="26">
        <f t="shared" si="16"/>
        <v>0.576</v>
      </c>
      <c r="W102" s="26"/>
      <c r="X102" s="27"/>
    </row>
    <row r="103" spans="11:24" ht="12">
      <c r="K103"/>
      <c r="L103"/>
      <c r="T103" s="1">
        <v>2</v>
      </c>
      <c r="U103" s="18">
        <f t="shared" si="15"/>
        <v>-0.23515101530718524</v>
      </c>
      <c r="V103" s="26">
        <f t="shared" si="16"/>
        <v>0.5519999999999999</v>
      </c>
      <c r="W103" s="26"/>
      <c r="X103" s="27"/>
    </row>
    <row r="104" spans="11:24" ht="12">
      <c r="K104"/>
      <c r="L104"/>
      <c r="T104" s="1">
        <v>3</v>
      </c>
      <c r="U104" s="18">
        <f t="shared" si="15"/>
        <v>-0.28498421008890995</v>
      </c>
      <c r="V104" s="26">
        <f t="shared" si="16"/>
        <v>0.528</v>
      </c>
      <c r="W104" s="26"/>
      <c r="X104" s="27"/>
    </row>
    <row r="105" spans="11:24" ht="12">
      <c r="K105"/>
      <c r="L105"/>
      <c r="T105" s="1">
        <v>4</v>
      </c>
      <c r="U105" s="18">
        <f t="shared" si="15"/>
        <v>-0.3255518391900128</v>
      </c>
      <c r="V105" s="26">
        <f t="shared" si="16"/>
        <v>0.504</v>
      </c>
      <c r="W105" s="26"/>
      <c r="X105" s="27"/>
    </row>
    <row r="106" spans="11:24" ht="12">
      <c r="K106"/>
      <c r="L106"/>
      <c r="T106" s="1">
        <v>5</v>
      </c>
      <c r="U106" s="18">
        <f t="shared" si="15"/>
        <v>-0.36</v>
      </c>
      <c r="V106" s="26">
        <f t="shared" si="16"/>
        <v>0.48</v>
      </c>
      <c r="W106" s="26"/>
      <c r="X106" s="27"/>
    </row>
    <row r="107" spans="11:24" ht="12">
      <c r="K107"/>
      <c r="L107"/>
      <c r="T107" s="1">
        <v>6</v>
      </c>
      <c r="U107" s="18">
        <f t="shared" si="15"/>
        <v>-0.38995384342252615</v>
      </c>
      <c r="V107" s="26">
        <f t="shared" si="16"/>
        <v>0.45599999999999996</v>
      </c>
      <c r="W107" s="26"/>
      <c r="X107" s="27"/>
    </row>
    <row r="108" spans="11:24" ht="12">
      <c r="K108"/>
      <c r="L108"/>
      <c r="T108" s="1">
        <v>7</v>
      </c>
      <c r="U108" s="18">
        <f t="shared" si="15"/>
        <v>-0.41638443774953937</v>
      </c>
      <c r="V108" s="26">
        <f t="shared" si="16"/>
        <v>0.43199999999999994</v>
      </c>
      <c r="W108" s="26"/>
      <c r="X108" s="27"/>
    </row>
    <row r="109" spans="11:24" ht="12">
      <c r="K109"/>
      <c r="L109"/>
      <c r="T109" s="1">
        <v>8</v>
      </c>
      <c r="U109" s="18">
        <f t="shared" si="15"/>
        <v>-0.43992726671576066</v>
      </c>
      <c r="V109" s="26">
        <f t="shared" si="16"/>
        <v>0.408</v>
      </c>
      <c r="W109" s="26"/>
      <c r="X109" s="27"/>
    </row>
    <row r="110" spans="11:24" ht="12">
      <c r="K110"/>
      <c r="L110"/>
      <c r="T110" s="1">
        <v>9</v>
      </c>
      <c r="U110" s="18">
        <f t="shared" si="15"/>
        <v>-0.46102494509516506</v>
      </c>
      <c r="V110" s="26">
        <f t="shared" si="16"/>
        <v>0.384</v>
      </c>
      <c r="W110" s="26"/>
      <c r="X110" s="27"/>
    </row>
    <row r="111" spans="11:24" ht="12">
      <c r="K111"/>
      <c r="L111"/>
      <c r="T111" s="1">
        <v>10</v>
      </c>
      <c r="U111" s="18">
        <f t="shared" si="15"/>
        <v>-0.48</v>
      </c>
      <c r="V111" s="26">
        <f t="shared" si="16"/>
        <v>0.36</v>
      </c>
      <c r="W111" s="26"/>
      <c r="X111" s="27"/>
    </row>
    <row r="112" spans="11:24" ht="12">
      <c r="K112"/>
      <c r="L112"/>
      <c r="T112" s="1">
        <v>11</v>
      </c>
      <c r="U112" s="18">
        <f t="shared" si="15"/>
        <v>-0.4970955642529915</v>
      </c>
      <c r="V112" s="26">
        <f t="shared" si="16"/>
        <v>0.33599999999999997</v>
      </c>
      <c r="W112" s="26"/>
      <c r="X112" s="27"/>
    </row>
    <row r="113" spans="11:24" ht="12">
      <c r="K113"/>
      <c r="L113"/>
      <c r="T113" s="1">
        <v>12</v>
      </c>
      <c r="U113" s="18">
        <f t="shared" si="15"/>
        <v>-0.512499756097503</v>
      </c>
      <c r="V113" s="26">
        <f t="shared" si="16"/>
        <v>0.312</v>
      </c>
      <c r="W113" s="26"/>
      <c r="X113" s="27"/>
    </row>
    <row r="114" spans="11:24" ht="12">
      <c r="K114"/>
      <c r="L114"/>
      <c r="T114" s="1">
        <v>13</v>
      </c>
      <c r="U114" s="18">
        <f t="shared" si="15"/>
        <v>-0.5263610927870713</v>
      </c>
      <c r="V114" s="26">
        <f t="shared" si="16"/>
        <v>0.288</v>
      </c>
      <c r="W114" s="26"/>
      <c r="X114" s="27"/>
    </row>
    <row r="115" spans="11:24" ht="12">
      <c r="K115"/>
      <c r="L115"/>
      <c r="T115" s="1">
        <v>14</v>
      </c>
      <c r="U115" s="18">
        <f t="shared" si="15"/>
        <v>-0.5387986636954476</v>
      </c>
      <c r="V115" s="26">
        <f t="shared" si="16"/>
        <v>0.26399999999999996</v>
      </c>
      <c r="W115" s="26"/>
      <c r="X115" s="27"/>
    </row>
    <row r="116" spans="11:24" ht="12">
      <c r="K116"/>
      <c r="L116"/>
      <c r="T116" s="1">
        <v>15</v>
      </c>
      <c r="U116" s="18">
        <f t="shared" si="15"/>
        <v>-0.5499090833947008</v>
      </c>
      <c r="V116" s="26">
        <f t="shared" si="16"/>
        <v>0.24</v>
      </c>
      <c r="W116" s="26"/>
      <c r="X116" s="27"/>
    </row>
    <row r="117" spans="11:24" ht="12">
      <c r="K117"/>
      <c r="L117"/>
      <c r="T117" s="1">
        <v>16</v>
      </c>
      <c r="U117" s="18">
        <f t="shared" si="15"/>
        <v>-0.5597713819051489</v>
      </c>
      <c r="V117" s="26">
        <f t="shared" si="16"/>
        <v>0.21599999999999997</v>
      </c>
      <c r="W117" s="26"/>
      <c r="X117" s="27"/>
    </row>
    <row r="118" spans="11:24" ht="12">
      <c r="K118"/>
      <c r="L118"/>
      <c r="T118" s="1">
        <v>17</v>
      </c>
      <c r="U118" s="18">
        <f t="shared" si="15"/>
        <v>-0.5684505255516965</v>
      </c>
      <c r="V118" s="26">
        <f t="shared" si="16"/>
        <v>0.19199999999999995</v>
      </c>
      <c r="W118" s="26"/>
      <c r="X118" s="27"/>
    </row>
    <row r="119" spans="11:24" ht="12">
      <c r="K119"/>
      <c r="L119"/>
      <c r="T119" s="1">
        <v>18</v>
      </c>
      <c r="U119" s="18">
        <f t="shared" si="15"/>
        <v>-0.5760000000000001</v>
      </c>
      <c r="V119" s="26">
        <f t="shared" si="16"/>
        <v>0.16799999999999998</v>
      </c>
      <c r="W119" s="26"/>
      <c r="X119" s="27"/>
    </row>
    <row r="120" spans="11:24" ht="12">
      <c r="K120"/>
      <c r="L120"/>
      <c r="T120" s="1">
        <v>19</v>
      </c>
      <c r="U120" s="18">
        <f t="shared" si="15"/>
        <v>-0.5824637327765567</v>
      </c>
      <c r="V120" s="26">
        <f t="shared" si="16"/>
        <v>0.14400000000000002</v>
      </c>
      <c r="W120" s="26"/>
      <c r="X120" s="27"/>
    </row>
    <row r="121" spans="11:24" ht="12">
      <c r="K121"/>
      <c r="L121"/>
      <c r="T121" s="1">
        <v>20</v>
      </c>
      <c r="U121" s="18">
        <f t="shared" si="15"/>
        <v>-0.5878775382679627</v>
      </c>
      <c r="V121" s="26">
        <f t="shared" si="16"/>
        <v>0.12</v>
      </c>
      <c r="W121" s="26"/>
      <c r="X121" s="27"/>
    </row>
    <row r="122" spans="11:24" ht="12">
      <c r="K122"/>
      <c r="L122"/>
      <c r="T122" s="1">
        <v>21</v>
      </c>
      <c r="U122" s="18">
        <f t="shared" si="15"/>
        <v>-0.5922702086041471</v>
      </c>
      <c r="V122" s="26">
        <f t="shared" si="16"/>
        <v>0.09599999999999997</v>
      </c>
      <c r="W122" s="26"/>
      <c r="X122" s="27"/>
    </row>
    <row r="123" spans="11:24" ht="12">
      <c r="K123"/>
      <c r="L123"/>
      <c r="T123" s="1">
        <v>22</v>
      </c>
      <c r="U123" s="18">
        <f t="shared" si="15"/>
        <v>-0.5956643350075611</v>
      </c>
      <c r="V123" s="26">
        <f t="shared" si="16"/>
        <v>0.07199999999999995</v>
      </c>
      <c r="W123" s="26"/>
      <c r="X123" s="27"/>
    </row>
    <row r="124" spans="11:24" ht="12">
      <c r="K124"/>
      <c r="L124"/>
      <c r="T124" s="1">
        <v>23</v>
      </c>
      <c r="U124" s="18">
        <f t="shared" si="15"/>
        <v>-0.5980769181301014</v>
      </c>
      <c r="V124" s="26">
        <f t="shared" si="16"/>
        <v>0.04799999999999993</v>
      </c>
      <c r="W124" s="26"/>
      <c r="X124" s="27"/>
    </row>
    <row r="125" spans="11:24" ht="12">
      <c r="K125"/>
      <c r="L125"/>
      <c r="T125" s="1">
        <v>24</v>
      </c>
      <c r="U125" s="18">
        <f t="shared" si="15"/>
        <v>-0.5995198078462461</v>
      </c>
      <c r="V125" s="26">
        <f t="shared" si="16"/>
        <v>0.02400000000000002</v>
      </c>
      <c r="W125" s="26"/>
      <c r="X125" s="27"/>
    </row>
    <row r="126" spans="11:24" ht="12">
      <c r="K126"/>
      <c r="L126"/>
      <c r="T126" s="1">
        <v>25</v>
      </c>
      <c r="U126" s="18">
        <f t="shared" si="15"/>
        <v>-0.6</v>
      </c>
      <c r="V126" s="26">
        <f t="shared" si="16"/>
        <v>0</v>
      </c>
      <c r="W126" s="26"/>
      <c r="X126" s="27"/>
    </row>
    <row r="127" spans="11:24" ht="12">
      <c r="K127"/>
      <c r="L127"/>
      <c r="T127" s="1">
        <v>26</v>
      </c>
      <c r="U127" s="18">
        <f t="shared" si="15"/>
        <v>-0.5995198078462461</v>
      </c>
      <c r="V127" s="26">
        <f t="shared" si="16"/>
        <v>-0.02400000000000002</v>
      </c>
      <c r="W127" s="26"/>
      <c r="X127" s="27"/>
    </row>
    <row r="128" spans="20:24" ht="12">
      <c r="T128" s="1">
        <v>27</v>
      </c>
      <c r="U128" s="18">
        <f t="shared" si="15"/>
        <v>-0.5980769181301013</v>
      </c>
      <c r="V128" s="26">
        <f t="shared" si="16"/>
        <v>-0.04800000000000004</v>
      </c>
      <c r="W128" s="26"/>
      <c r="X128" s="27"/>
    </row>
    <row r="129" spans="20:24" ht="12">
      <c r="T129" s="1">
        <v>28</v>
      </c>
      <c r="U129" s="18">
        <f t="shared" si="15"/>
        <v>-0.5956643350075611</v>
      </c>
      <c r="V129" s="26">
        <f t="shared" si="16"/>
        <v>-0.07200000000000006</v>
      </c>
      <c r="W129" s="26"/>
      <c r="X129" s="27"/>
    </row>
    <row r="130" spans="20:24" ht="12">
      <c r="T130" s="1">
        <v>29</v>
      </c>
      <c r="U130" s="18">
        <f t="shared" si="15"/>
        <v>-0.5922702086041471</v>
      </c>
      <c r="V130" s="26">
        <f t="shared" si="16"/>
        <v>-0.09599999999999997</v>
      </c>
      <c r="W130" s="26"/>
      <c r="X130" s="27"/>
    </row>
    <row r="131" spans="20:24" ht="12">
      <c r="T131" s="1">
        <v>30</v>
      </c>
      <c r="U131" s="18">
        <f t="shared" si="15"/>
        <v>-0.5878775382679627</v>
      </c>
      <c r="V131" s="26">
        <f t="shared" si="16"/>
        <v>-0.12</v>
      </c>
      <c r="W131" s="26"/>
      <c r="X131" s="27"/>
    </row>
    <row r="132" spans="20:24" ht="12">
      <c r="T132" s="1">
        <v>31</v>
      </c>
      <c r="U132" s="18">
        <f t="shared" si="15"/>
        <v>-0.5824637327765567</v>
      </c>
      <c r="V132" s="26">
        <f t="shared" si="16"/>
        <v>-0.14400000000000002</v>
      </c>
      <c r="W132" s="26"/>
      <c r="X132" s="27"/>
    </row>
    <row r="133" spans="20:24" ht="12">
      <c r="T133" s="1">
        <v>32</v>
      </c>
      <c r="U133" s="18">
        <f aca="true" t="shared" si="17" ref="U133:U151">-SQRT(C$12^2/4-V133^2)</f>
        <v>-0.576</v>
      </c>
      <c r="V133" s="26">
        <f aca="true" t="shared" si="18" ref="V133:V151">-T133/T$151*C$12+C$12/2</f>
        <v>-0.16800000000000004</v>
      </c>
      <c r="W133" s="26"/>
      <c r="X133" s="27"/>
    </row>
    <row r="134" spans="20:24" ht="12">
      <c r="T134" s="1">
        <v>33</v>
      </c>
      <c r="U134" s="18">
        <f t="shared" si="17"/>
        <v>-0.5684505255516965</v>
      </c>
      <c r="V134" s="26">
        <f t="shared" si="18"/>
        <v>-0.19200000000000006</v>
      </c>
      <c r="W134" s="26"/>
      <c r="X134" s="27"/>
    </row>
    <row r="135" spans="20:24" ht="12">
      <c r="T135" s="1">
        <v>34</v>
      </c>
      <c r="U135" s="18">
        <f t="shared" si="17"/>
        <v>-0.5597713819051489</v>
      </c>
      <c r="V135" s="26">
        <f t="shared" si="18"/>
        <v>-0.21600000000000008</v>
      </c>
      <c r="W135" s="26"/>
      <c r="X135" s="27"/>
    </row>
    <row r="136" spans="20:24" ht="12">
      <c r="T136" s="1">
        <v>35</v>
      </c>
      <c r="U136" s="18">
        <f t="shared" si="17"/>
        <v>-0.5499090833947008</v>
      </c>
      <c r="V136" s="26">
        <f t="shared" si="18"/>
        <v>-0.24</v>
      </c>
      <c r="W136" s="26"/>
      <c r="X136" s="27"/>
    </row>
    <row r="137" spans="20:24" ht="12">
      <c r="T137" s="1">
        <v>36</v>
      </c>
      <c r="U137" s="18">
        <f t="shared" si="17"/>
        <v>-0.5387986636954476</v>
      </c>
      <c r="V137" s="26">
        <f t="shared" si="18"/>
        <v>-0.264</v>
      </c>
      <c r="W137" s="26"/>
      <c r="X137" s="27"/>
    </row>
    <row r="138" spans="20:24" ht="12">
      <c r="T138" s="1">
        <v>37</v>
      </c>
      <c r="U138" s="18">
        <f t="shared" si="17"/>
        <v>-0.5263610927870713</v>
      </c>
      <c r="V138" s="26">
        <f t="shared" si="18"/>
        <v>-0.28800000000000003</v>
      </c>
      <c r="W138" s="26"/>
      <c r="X138" s="27"/>
    </row>
    <row r="139" spans="20:24" ht="12">
      <c r="T139" s="1">
        <v>38</v>
      </c>
      <c r="U139" s="18">
        <f t="shared" si="17"/>
        <v>-0.512499756097503</v>
      </c>
      <c r="V139" s="26">
        <f t="shared" si="18"/>
        <v>-0.31199999999999994</v>
      </c>
      <c r="W139" s="26"/>
      <c r="X139" s="27"/>
    </row>
    <row r="140" spans="20:24" ht="12">
      <c r="T140" s="1">
        <v>39</v>
      </c>
      <c r="U140" s="18">
        <f t="shared" si="17"/>
        <v>-0.4970955642529915</v>
      </c>
      <c r="V140" s="26">
        <f t="shared" si="18"/>
        <v>-0.33599999999999997</v>
      </c>
      <c r="W140" s="26"/>
      <c r="X140" s="27"/>
    </row>
    <row r="141" spans="20:24" ht="12">
      <c r="T141" s="1">
        <v>40</v>
      </c>
      <c r="U141" s="18">
        <f t="shared" si="17"/>
        <v>-0.48</v>
      </c>
      <c r="V141" s="26">
        <f t="shared" si="18"/>
        <v>-0.36</v>
      </c>
      <c r="W141" s="26"/>
      <c r="X141" s="27"/>
    </row>
    <row r="142" spans="20:24" ht="12">
      <c r="T142" s="1">
        <v>41</v>
      </c>
      <c r="U142" s="18">
        <f t="shared" si="17"/>
        <v>-0.4610249450951652</v>
      </c>
      <c r="V142" s="26">
        <f t="shared" si="18"/>
        <v>-0.3839999999999999</v>
      </c>
      <c r="W142" s="26"/>
      <c r="X142" s="27"/>
    </row>
    <row r="143" spans="20:24" ht="12">
      <c r="T143" s="1">
        <v>42</v>
      </c>
      <c r="U143" s="18">
        <f t="shared" si="17"/>
        <v>-0.4399272667157606</v>
      </c>
      <c r="V143" s="26">
        <f t="shared" si="18"/>
        <v>-0.40800000000000003</v>
      </c>
      <c r="W143" s="26"/>
      <c r="X143" s="27"/>
    </row>
    <row r="144" spans="20:24" ht="12">
      <c r="T144" s="1">
        <v>43</v>
      </c>
      <c r="U144" s="18">
        <f t="shared" si="17"/>
        <v>-0.41638443774953926</v>
      </c>
      <c r="V144" s="26">
        <f t="shared" si="18"/>
        <v>-0.43200000000000005</v>
      </c>
      <c r="W144" s="26"/>
      <c r="X144" s="27"/>
    </row>
    <row r="145" spans="20:24" ht="12">
      <c r="T145" s="1">
        <v>44</v>
      </c>
      <c r="U145" s="18">
        <f t="shared" si="17"/>
        <v>-0.389953843422526</v>
      </c>
      <c r="V145" s="26">
        <f t="shared" si="18"/>
        <v>-0.45600000000000007</v>
      </c>
      <c r="W145" s="26"/>
      <c r="X145" s="27"/>
    </row>
    <row r="146" spans="20:24" ht="12">
      <c r="T146" s="1">
        <v>45</v>
      </c>
      <c r="U146" s="18">
        <f t="shared" si="17"/>
        <v>-0.3599999999999999</v>
      </c>
      <c r="V146" s="26">
        <f t="shared" si="18"/>
        <v>-0.4800000000000001</v>
      </c>
      <c r="W146" s="26"/>
      <c r="X146" s="27"/>
    </row>
    <row r="147" spans="20:24" ht="12">
      <c r="T147" s="1">
        <v>46</v>
      </c>
      <c r="U147" s="18">
        <f t="shared" si="17"/>
        <v>-0.3255518391900126</v>
      </c>
      <c r="V147" s="26">
        <f t="shared" si="18"/>
        <v>-0.5040000000000001</v>
      </c>
      <c r="W147" s="26"/>
      <c r="X147" s="27"/>
    </row>
    <row r="148" spans="20:24" ht="12">
      <c r="T148" s="1">
        <v>47</v>
      </c>
      <c r="U148" s="18">
        <f t="shared" si="17"/>
        <v>-0.2849842100889101</v>
      </c>
      <c r="V148" s="26">
        <f t="shared" si="18"/>
        <v>-0.5279999999999999</v>
      </c>
      <c r="W148" s="26"/>
      <c r="X148" s="27"/>
    </row>
    <row r="149" spans="20:24" ht="12">
      <c r="T149" s="1">
        <v>48</v>
      </c>
      <c r="U149" s="18">
        <f t="shared" si="17"/>
        <v>-0.23515101530718524</v>
      </c>
      <c r="V149" s="26">
        <f t="shared" si="18"/>
        <v>-0.5519999999999999</v>
      </c>
      <c r="W149" s="26"/>
      <c r="X149" s="27"/>
    </row>
    <row r="150" spans="20:24" ht="12">
      <c r="T150" s="1">
        <v>49</v>
      </c>
      <c r="U150" s="18">
        <f t="shared" si="17"/>
        <v>-0.1680000000000001</v>
      </c>
      <c r="V150" s="26">
        <f t="shared" si="18"/>
        <v>-0.576</v>
      </c>
      <c r="W150" s="26"/>
      <c r="X150" s="27"/>
    </row>
    <row r="151" spans="20:24" ht="12">
      <c r="T151" s="1">
        <v>50</v>
      </c>
      <c r="U151" s="18">
        <f t="shared" si="17"/>
        <v>0</v>
      </c>
      <c r="V151" s="26">
        <f t="shared" si="18"/>
        <v>-0.6</v>
      </c>
      <c r="W151" s="26"/>
      <c r="X151" s="27"/>
    </row>
    <row r="152" spans="21:24" ht="12">
      <c r="U152" s="18"/>
      <c r="V152" s="26"/>
      <c r="W152" s="26"/>
      <c r="X152" s="27"/>
    </row>
    <row r="153" spans="19:24" ht="12">
      <c r="S153" s="16">
        <f>B29</f>
        <v>0.24999206000000002</v>
      </c>
      <c r="T153" s="1" t="s">
        <v>27</v>
      </c>
      <c r="U153" s="18">
        <f>IF(B29&gt;C12,0,SQRT(C$12^2/4-W153^2))</f>
        <v>0.4873340147547228</v>
      </c>
      <c r="V153" s="26"/>
      <c r="W153" s="28">
        <f>IF(S153&gt;C12,0,C12/2-B29)</f>
        <v>0.35000793999999996</v>
      </c>
      <c r="X153" s="27"/>
    </row>
    <row r="154" spans="21:24" ht="12">
      <c r="U154" s="18">
        <f>-U153</f>
        <v>-0.4873340147547228</v>
      </c>
      <c r="V154" s="26"/>
      <c r="W154" s="28">
        <f>W153</f>
        <v>0.35000793999999996</v>
      </c>
      <c r="X154" s="27"/>
    </row>
    <row r="155" spans="21:24" ht="12">
      <c r="U155" s="18"/>
      <c r="V155" s="26"/>
      <c r="W155" s="26"/>
      <c r="X155" s="27"/>
    </row>
    <row r="156" spans="18:24" ht="12">
      <c r="R156" s="10" t="s">
        <v>28</v>
      </c>
      <c r="S156" s="21">
        <f>C18</f>
        <v>0.08</v>
      </c>
      <c r="U156" s="18"/>
      <c r="V156" s="26"/>
      <c r="W156" s="26"/>
      <c r="X156" s="27"/>
    </row>
    <row r="157" spans="18:24" ht="12">
      <c r="R157" s="10" t="s">
        <v>29</v>
      </c>
      <c r="S157" s="21">
        <f>C15</f>
        <v>8</v>
      </c>
      <c r="U157" s="18"/>
      <c r="V157" s="26"/>
      <c r="W157" s="26"/>
      <c r="X157" s="27"/>
    </row>
    <row r="158" spans="18:24" ht="12">
      <c r="R158" s="10" t="s">
        <v>30</v>
      </c>
      <c r="S158" s="21">
        <f>C12/2-S156</f>
        <v>0.52</v>
      </c>
      <c r="U158" s="18"/>
      <c r="V158" s="26"/>
      <c r="W158" s="26"/>
      <c r="X158" s="27"/>
    </row>
    <row r="159" spans="18:24" ht="12">
      <c r="R159" s="6" t="s">
        <v>31</v>
      </c>
      <c r="S159" s="1">
        <f aca="true" t="shared" si="19" ref="S159:S182">(T159-1)/S$157*2*PI()</f>
        <v>0</v>
      </c>
      <c r="T159" s="1">
        <v>1</v>
      </c>
      <c r="U159" s="18">
        <f aca="true" t="shared" si="20" ref="U159:U182">S$158*SIN(S159)</f>
        <v>0</v>
      </c>
      <c r="V159" s="26"/>
      <c r="W159" s="26"/>
      <c r="X159" s="27">
        <f aca="true" t="shared" si="21" ref="X159:X182">S$158*COS(S159)</f>
        <v>0.52</v>
      </c>
    </row>
    <row r="160" spans="19:24" ht="12">
      <c r="S160" s="1">
        <f t="shared" si="19"/>
        <v>0.7853981633974483</v>
      </c>
      <c r="T160" s="1">
        <f aca="true" t="shared" si="22" ref="T160:T182">IF(T159=S$157,S$157,T159+1)</f>
        <v>2</v>
      </c>
      <c r="U160" s="18">
        <f t="shared" si="20"/>
        <v>0.3676955262170047</v>
      </c>
      <c r="V160" s="26"/>
      <c r="W160" s="26"/>
      <c r="X160" s="27">
        <f t="shared" si="21"/>
        <v>0.36769552621700474</v>
      </c>
    </row>
    <row r="161" spans="18:24" ht="12">
      <c r="R161" s="10"/>
      <c r="S161" s="1">
        <f t="shared" si="19"/>
        <v>1.5707963267948966</v>
      </c>
      <c r="T161" s="1">
        <f t="shared" si="22"/>
        <v>3</v>
      </c>
      <c r="U161" s="18">
        <f t="shared" si="20"/>
        <v>0.52</v>
      </c>
      <c r="V161" s="26"/>
      <c r="W161" s="26"/>
      <c r="X161" s="27">
        <f t="shared" si="21"/>
        <v>3.185385982762412E-17</v>
      </c>
    </row>
    <row r="162" spans="18:24" ht="12">
      <c r="R162" s="10"/>
      <c r="S162" s="1">
        <f t="shared" si="19"/>
        <v>2.356194490192345</v>
      </c>
      <c r="T162" s="1">
        <f t="shared" si="22"/>
        <v>4</v>
      </c>
      <c r="U162" s="18">
        <f t="shared" si="20"/>
        <v>0.36769552621700474</v>
      </c>
      <c r="V162" s="26"/>
      <c r="W162" s="26"/>
      <c r="X162" s="27">
        <f t="shared" si="21"/>
        <v>-0.3676955262170047</v>
      </c>
    </row>
    <row r="163" spans="19:24" ht="12">
      <c r="S163" s="1">
        <f t="shared" si="19"/>
        <v>3.141592653589793</v>
      </c>
      <c r="T163" s="1">
        <f t="shared" si="22"/>
        <v>5</v>
      </c>
      <c r="U163" s="18">
        <f t="shared" si="20"/>
        <v>6.370771965524824E-17</v>
      </c>
      <c r="V163" s="26"/>
      <c r="W163" s="26"/>
      <c r="X163" s="27">
        <f t="shared" si="21"/>
        <v>-0.52</v>
      </c>
    </row>
    <row r="164" spans="19:24" ht="12">
      <c r="S164" s="1">
        <f t="shared" si="19"/>
        <v>3.9269908169872414</v>
      </c>
      <c r="T164" s="1">
        <f t="shared" si="22"/>
        <v>6</v>
      </c>
      <c r="U164" s="18">
        <f t="shared" si="20"/>
        <v>-0.3676955262170047</v>
      </c>
      <c r="V164" s="26"/>
      <c r="W164" s="26"/>
      <c r="X164" s="27">
        <f t="shared" si="21"/>
        <v>-0.3676955262170048</v>
      </c>
    </row>
    <row r="165" spans="19:24" ht="12">
      <c r="S165" s="1">
        <f t="shared" si="19"/>
        <v>4.71238898038469</v>
      </c>
      <c r="T165" s="1">
        <f t="shared" si="22"/>
        <v>7</v>
      </c>
      <c r="U165" s="18">
        <f t="shared" si="20"/>
        <v>-0.52</v>
      </c>
      <c r="V165" s="26"/>
      <c r="W165" s="26"/>
      <c r="X165" s="27">
        <f t="shared" si="21"/>
        <v>-9.556157948287236E-17</v>
      </c>
    </row>
    <row r="166" spans="19:24" ht="12">
      <c r="S166" s="1">
        <f t="shared" si="19"/>
        <v>5.497787143782138</v>
      </c>
      <c r="T166" s="1">
        <f t="shared" si="22"/>
        <v>8</v>
      </c>
      <c r="U166" s="18">
        <f t="shared" si="20"/>
        <v>-0.3676955262170048</v>
      </c>
      <c r="V166" s="26"/>
      <c r="W166" s="26"/>
      <c r="X166" s="27">
        <f t="shared" si="21"/>
        <v>0.36769552621700463</v>
      </c>
    </row>
    <row r="167" spans="19:24" ht="12">
      <c r="S167" s="1">
        <f t="shared" si="19"/>
        <v>5.497787143782138</v>
      </c>
      <c r="T167" s="1">
        <f t="shared" si="22"/>
        <v>8</v>
      </c>
      <c r="U167" s="18">
        <f t="shared" si="20"/>
        <v>-0.3676955262170048</v>
      </c>
      <c r="V167" s="26"/>
      <c r="W167" s="26"/>
      <c r="X167" s="27">
        <f t="shared" si="21"/>
        <v>0.36769552621700463</v>
      </c>
    </row>
    <row r="168" spans="19:24" ht="12">
      <c r="S168" s="1">
        <f t="shared" si="19"/>
        <v>5.497787143782138</v>
      </c>
      <c r="T168" s="1">
        <f t="shared" si="22"/>
        <v>8</v>
      </c>
      <c r="U168" s="18">
        <f t="shared" si="20"/>
        <v>-0.3676955262170048</v>
      </c>
      <c r="V168" s="26"/>
      <c r="W168" s="26"/>
      <c r="X168" s="27">
        <f t="shared" si="21"/>
        <v>0.36769552621700463</v>
      </c>
    </row>
    <row r="169" spans="19:24" ht="12">
      <c r="S169" s="1">
        <f t="shared" si="19"/>
        <v>5.497787143782138</v>
      </c>
      <c r="T169" s="1">
        <f t="shared" si="22"/>
        <v>8</v>
      </c>
      <c r="U169" s="18">
        <f t="shared" si="20"/>
        <v>-0.3676955262170048</v>
      </c>
      <c r="V169" s="26"/>
      <c r="W169" s="26"/>
      <c r="X169" s="27">
        <f t="shared" si="21"/>
        <v>0.36769552621700463</v>
      </c>
    </row>
    <row r="170" spans="19:24" ht="12">
      <c r="S170" s="1">
        <f t="shared" si="19"/>
        <v>5.497787143782138</v>
      </c>
      <c r="T170" s="1">
        <f t="shared" si="22"/>
        <v>8</v>
      </c>
      <c r="U170" s="18">
        <f t="shared" si="20"/>
        <v>-0.3676955262170048</v>
      </c>
      <c r="V170" s="26"/>
      <c r="W170" s="26"/>
      <c r="X170" s="27">
        <f t="shared" si="21"/>
        <v>0.36769552621700463</v>
      </c>
    </row>
    <row r="171" spans="19:24" ht="12">
      <c r="S171" s="1">
        <f t="shared" si="19"/>
        <v>5.497787143782138</v>
      </c>
      <c r="T171" s="1">
        <f t="shared" si="22"/>
        <v>8</v>
      </c>
      <c r="U171" s="18">
        <f t="shared" si="20"/>
        <v>-0.3676955262170048</v>
      </c>
      <c r="V171" s="26"/>
      <c r="W171" s="26"/>
      <c r="X171" s="27">
        <f t="shared" si="21"/>
        <v>0.36769552621700463</v>
      </c>
    </row>
    <row r="172" spans="19:24" ht="12">
      <c r="S172" s="1">
        <f t="shared" si="19"/>
        <v>5.497787143782138</v>
      </c>
      <c r="T172" s="1">
        <f t="shared" si="22"/>
        <v>8</v>
      </c>
      <c r="U172" s="18">
        <f t="shared" si="20"/>
        <v>-0.3676955262170048</v>
      </c>
      <c r="V172" s="26"/>
      <c r="W172" s="26"/>
      <c r="X172" s="27">
        <f t="shared" si="21"/>
        <v>0.36769552621700463</v>
      </c>
    </row>
    <row r="173" spans="19:24" ht="12">
      <c r="S173" s="1">
        <f t="shared" si="19"/>
        <v>5.497787143782138</v>
      </c>
      <c r="T173" s="1">
        <f t="shared" si="22"/>
        <v>8</v>
      </c>
      <c r="U173" s="18">
        <f t="shared" si="20"/>
        <v>-0.3676955262170048</v>
      </c>
      <c r="V173" s="26"/>
      <c r="W173" s="26"/>
      <c r="X173" s="27">
        <f t="shared" si="21"/>
        <v>0.36769552621700463</v>
      </c>
    </row>
    <row r="174" spans="19:24" ht="12">
      <c r="S174" s="1">
        <f t="shared" si="19"/>
        <v>5.497787143782138</v>
      </c>
      <c r="T174" s="1">
        <f t="shared" si="22"/>
        <v>8</v>
      </c>
      <c r="U174" s="18">
        <f t="shared" si="20"/>
        <v>-0.3676955262170048</v>
      </c>
      <c r="V174" s="26"/>
      <c r="W174" s="26"/>
      <c r="X174" s="27">
        <f t="shared" si="21"/>
        <v>0.36769552621700463</v>
      </c>
    </row>
    <row r="175" spans="19:24" ht="12">
      <c r="S175" s="1">
        <f t="shared" si="19"/>
        <v>5.497787143782138</v>
      </c>
      <c r="T175" s="1">
        <f t="shared" si="22"/>
        <v>8</v>
      </c>
      <c r="U175" s="18">
        <f t="shared" si="20"/>
        <v>-0.3676955262170048</v>
      </c>
      <c r="V175" s="26"/>
      <c r="W175" s="26"/>
      <c r="X175" s="27">
        <f t="shared" si="21"/>
        <v>0.36769552621700463</v>
      </c>
    </row>
    <row r="176" spans="19:24" ht="12">
      <c r="S176" s="1">
        <f t="shared" si="19"/>
        <v>5.497787143782138</v>
      </c>
      <c r="T176" s="1">
        <f t="shared" si="22"/>
        <v>8</v>
      </c>
      <c r="U176" s="18">
        <f t="shared" si="20"/>
        <v>-0.3676955262170048</v>
      </c>
      <c r="V176" s="26"/>
      <c r="W176" s="26"/>
      <c r="X176" s="27">
        <f t="shared" si="21"/>
        <v>0.36769552621700463</v>
      </c>
    </row>
    <row r="177" spans="19:24" ht="12">
      <c r="S177" s="1">
        <f t="shared" si="19"/>
        <v>5.497787143782138</v>
      </c>
      <c r="T177" s="1">
        <f t="shared" si="22"/>
        <v>8</v>
      </c>
      <c r="U177" s="18">
        <f t="shared" si="20"/>
        <v>-0.3676955262170048</v>
      </c>
      <c r="V177" s="26"/>
      <c r="W177" s="26"/>
      <c r="X177" s="27">
        <f t="shared" si="21"/>
        <v>0.36769552621700463</v>
      </c>
    </row>
    <row r="178" spans="19:24" ht="12">
      <c r="S178" s="1">
        <f t="shared" si="19"/>
        <v>5.497787143782138</v>
      </c>
      <c r="T178" s="1">
        <f t="shared" si="22"/>
        <v>8</v>
      </c>
      <c r="U178" s="18">
        <f t="shared" si="20"/>
        <v>-0.3676955262170048</v>
      </c>
      <c r="V178" s="26"/>
      <c r="W178" s="26"/>
      <c r="X178" s="27">
        <f t="shared" si="21"/>
        <v>0.36769552621700463</v>
      </c>
    </row>
    <row r="179" spans="19:24" ht="12">
      <c r="S179" s="1">
        <f t="shared" si="19"/>
        <v>5.497787143782138</v>
      </c>
      <c r="T179" s="1">
        <f t="shared" si="22"/>
        <v>8</v>
      </c>
      <c r="U179" s="18">
        <f t="shared" si="20"/>
        <v>-0.3676955262170048</v>
      </c>
      <c r="V179" s="26"/>
      <c r="W179" s="26"/>
      <c r="X179" s="27">
        <f t="shared" si="21"/>
        <v>0.36769552621700463</v>
      </c>
    </row>
    <row r="180" spans="19:24" ht="12">
      <c r="S180" s="1">
        <f t="shared" si="19"/>
        <v>5.497787143782138</v>
      </c>
      <c r="T180" s="1">
        <f t="shared" si="22"/>
        <v>8</v>
      </c>
      <c r="U180" s="18">
        <f t="shared" si="20"/>
        <v>-0.3676955262170048</v>
      </c>
      <c r="V180" s="26"/>
      <c r="W180" s="26"/>
      <c r="X180" s="27">
        <f t="shared" si="21"/>
        <v>0.36769552621700463</v>
      </c>
    </row>
    <row r="181" spans="19:24" ht="12">
      <c r="S181" s="1">
        <f t="shared" si="19"/>
        <v>5.497787143782138</v>
      </c>
      <c r="T181" s="1">
        <f t="shared" si="22"/>
        <v>8</v>
      </c>
      <c r="U181" s="18">
        <f t="shared" si="20"/>
        <v>-0.3676955262170048</v>
      </c>
      <c r="V181" s="26"/>
      <c r="W181" s="26"/>
      <c r="X181" s="27">
        <f t="shared" si="21"/>
        <v>0.36769552621700463</v>
      </c>
    </row>
    <row r="182" spans="19:24" ht="12">
      <c r="S182" s="1">
        <f t="shared" si="19"/>
        <v>5.497787143782138</v>
      </c>
      <c r="T182" s="1">
        <f t="shared" si="22"/>
        <v>8</v>
      </c>
      <c r="U182" s="18">
        <f t="shared" si="20"/>
        <v>-0.3676955262170048</v>
      </c>
      <c r="V182" s="26"/>
      <c r="W182" s="26"/>
      <c r="X182" s="27">
        <f t="shared" si="21"/>
        <v>0.36769552621700463</v>
      </c>
    </row>
    <row r="183" spans="21:24" ht="12">
      <c r="U183" s="29"/>
      <c r="V183" s="30"/>
      <c r="W183" s="30"/>
      <c r="X183" s="31"/>
    </row>
  </sheetData>
  <sheetProtection password="DE57" sheet="1" objects="1" scenarios="1"/>
  <mergeCells count="1">
    <mergeCell ref="B1:I1"/>
  </mergeCells>
  <conditionalFormatting sqref="B34:F34 B37:F37">
    <cfRule type="cellIs" priority="1" dxfId="0" operator="equal" stopIfTrue="1">
      <formula>"KO"</formula>
    </cfRule>
  </conditionalFormatting>
  <conditionalFormatting sqref="B36:F36 B33:F33">
    <cfRule type="cellIs" priority="2" dxfId="0" operator="greaterThan" stopIfTrue="1">
      <formula>1</formula>
    </cfRule>
  </conditionalFormatting>
  <conditionalFormatting sqref="C16">
    <cfRule type="cellIs" priority="3" dxfId="0" operator="lessThan" stopIfTrue="1">
      <formula>12</formula>
    </cfRule>
  </conditionalFormatting>
  <conditionalFormatting sqref="C13">
    <cfRule type="cellIs" priority="4" dxfId="1" operator="lessThan" stopIfTrue="1">
      <formula>12</formula>
    </cfRule>
  </conditionalFormatting>
  <dataValidations count="1">
    <dataValidation operator="greaterThanOrEqual" allowBlank="1" showInputMessage="1" showErrorMessage="1" sqref="C15:C16"/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85" r:id="rId4"/>
  <rowBreaks count="1" manualBreakCount="1">
    <brk id="4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</cp:lastModifiedBy>
  <cp:lastPrinted>2022-03-13T17:27:46Z</cp:lastPrinted>
  <dcterms:created xsi:type="dcterms:W3CDTF">2022-03-11T16:41:29Z</dcterms:created>
  <dcterms:modified xsi:type="dcterms:W3CDTF">2022-03-28T13:31:56Z</dcterms:modified>
  <cp:category/>
  <cp:version/>
  <cp:contentType/>
  <cp:contentStatus/>
</cp:coreProperties>
</file>