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1315" windowHeight="10515" activeTab="0"/>
  </bookViews>
  <sheets>
    <sheet name="Feuil1" sheetId="1" r:id="rId1"/>
  </sheets>
  <definedNames>
    <definedName name="_xlnm.Print_Area" localSheetId="0">'Feuil1'!$A$1:$O$144</definedName>
  </definedNames>
  <calcPr fullCalcOnLoad="1"/>
</workbook>
</file>

<file path=xl/comments1.xml><?xml version="1.0" encoding="utf-8"?>
<comments xmlns="http://schemas.openxmlformats.org/spreadsheetml/2006/main">
  <authors>
    <author>Henry</author>
  </authors>
  <commentList>
    <comment ref="B52" authorId="0">
      <text>
        <r>
          <rPr>
            <b/>
            <sz val="9"/>
            <rFont val="Tahoma"/>
            <family val="0"/>
          </rPr>
          <t>A répartir dans les 0,75 a</t>
        </r>
        <r>
          <rPr>
            <b/>
            <vertAlign val="subscript"/>
            <sz val="9"/>
            <rFont val="Tahoma"/>
            <family val="2"/>
          </rPr>
          <t>v</t>
        </r>
        <r>
          <rPr>
            <b/>
            <sz val="9"/>
            <rFont val="Tahoma"/>
            <family val="0"/>
          </rPr>
          <t xml:space="preserve"> centraux</t>
        </r>
      </text>
    </comment>
    <comment ref="B72" authorId="0">
      <text>
        <r>
          <rPr>
            <b/>
            <sz val="9"/>
            <rFont val="Tahoma"/>
            <family val="0"/>
          </rPr>
          <t>part d'effort tranchant transmise directement par l'engravure</t>
        </r>
      </text>
    </comment>
    <comment ref="B53" authorId="0">
      <text>
        <r>
          <rPr>
            <b/>
            <sz val="9"/>
            <rFont val="Tahoma"/>
            <family val="0"/>
          </rPr>
          <t>A répartir dans les 0,75a</t>
        </r>
        <r>
          <rPr>
            <b/>
            <vertAlign val="subscript"/>
            <sz val="9"/>
            <rFont val="Tahoma"/>
            <family val="2"/>
          </rPr>
          <t>v</t>
        </r>
        <r>
          <rPr>
            <b/>
            <sz val="9"/>
            <rFont val="Tahoma"/>
            <family val="0"/>
          </rPr>
          <t xml:space="preserve"> centrés</t>
        </r>
      </text>
    </comment>
    <comment ref="D11" authorId="0">
      <text>
        <r>
          <rPr>
            <b/>
            <sz val="9"/>
            <rFont val="Tahoma"/>
            <family val="0"/>
          </rPr>
          <t>négative si elle est dirigée vers l'appui
positive dans le cas contraire</t>
        </r>
      </text>
    </comment>
    <comment ref="D32" authorId="0">
      <text>
        <r>
          <rPr>
            <b/>
            <sz val="9"/>
            <rFont val="Tahoma"/>
            <family val="0"/>
          </rPr>
          <t>contrainte limite admise pour le nœud inférieur horizontalement</t>
        </r>
      </text>
    </comment>
    <comment ref="D29" authorId="0">
      <text>
        <r>
          <rPr>
            <b/>
            <sz val="9"/>
            <rFont val="Tahoma"/>
            <family val="0"/>
          </rPr>
          <t>Valeur forfaitaire</t>
        </r>
        <r>
          <rPr>
            <sz val="9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0"/>
          </rPr>
          <t>souple (téflon, néoprène, …) ou
rigide (béton, …)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<sst xmlns="http://schemas.openxmlformats.org/spreadsheetml/2006/main" count="274" uniqueCount="182">
  <si>
    <t>b</t>
  </si>
  <si>
    <t>d</t>
  </si>
  <si>
    <r>
      <t>s</t>
    </r>
    <r>
      <rPr>
        <vertAlign val="subscript"/>
        <sz val="9"/>
        <rFont val="Arial"/>
        <family val="2"/>
      </rPr>
      <t>Rd,max</t>
    </r>
  </si>
  <si>
    <r>
      <t>F</t>
    </r>
    <r>
      <rPr>
        <vertAlign val="subscript"/>
        <sz val="9"/>
        <rFont val="Arial"/>
        <family val="2"/>
      </rPr>
      <t>Ed</t>
    </r>
  </si>
  <si>
    <r>
      <t>h</t>
    </r>
    <r>
      <rPr>
        <vertAlign val="subscript"/>
        <sz val="9"/>
        <rFont val="Arial"/>
        <family val="2"/>
      </rPr>
      <t>c</t>
    </r>
  </si>
  <si>
    <r>
      <t>a</t>
    </r>
    <r>
      <rPr>
        <vertAlign val="subscript"/>
        <sz val="9"/>
        <rFont val="Arial"/>
        <family val="2"/>
      </rPr>
      <t>c</t>
    </r>
  </si>
  <si>
    <r>
      <t>tan</t>
    </r>
    <r>
      <rPr>
        <sz val="9"/>
        <rFont val="Symbol"/>
        <family val="1"/>
      </rPr>
      <t>q</t>
    </r>
  </si>
  <si>
    <t>q</t>
  </si>
  <si>
    <t>rd</t>
  </si>
  <si>
    <t>°</t>
  </si>
  <si>
    <t>m</t>
  </si>
  <si>
    <t>MN</t>
  </si>
  <si>
    <t>MPa</t>
  </si>
  <si>
    <r>
      <t>z</t>
    </r>
    <r>
      <rPr>
        <vertAlign val="subscript"/>
        <sz val="9"/>
        <rFont val="Arial"/>
        <family val="2"/>
      </rPr>
      <t>0</t>
    </r>
  </si>
  <si>
    <r>
      <t>cm</t>
    </r>
    <r>
      <rPr>
        <vertAlign val="superscript"/>
        <sz val="9"/>
        <rFont val="Arial"/>
        <family val="2"/>
      </rPr>
      <t>2</t>
    </r>
  </si>
  <si>
    <t>k</t>
  </si>
  <si>
    <r>
      <t>r</t>
    </r>
    <r>
      <rPr>
        <vertAlign val="subscript"/>
        <sz val="9"/>
        <rFont val="Arial"/>
        <family val="2"/>
      </rPr>
      <t>l</t>
    </r>
  </si>
  <si>
    <r>
      <t>f</t>
    </r>
    <r>
      <rPr>
        <vertAlign val="subscript"/>
        <sz val="9"/>
        <rFont val="Arial"/>
        <family val="2"/>
      </rPr>
      <t>ck</t>
    </r>
  </si>
  <si>
    <r>
      <t>g</t>
    </r>
    <r>
      <rPr>
        <vertAlign val="subscript"/>
        <sz val="9"/>
        <rFont val="Arial"/>
        <family val="2"/>
      </rPr>
      <t>C</t>
    </r>
  </si>
  <si>
    <r>
      <t>f</t>
    </r>
    <r>
      <rPr>
        <vertAlign val="subscript"/>
        <sz val="9"/>
        <rFont val="Arial"/>
        <family val="2"/>
      </rPr>
      <t>yk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</si>
  <si>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</si>
  <si>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cd</t>
    </r>
  </si>
  <si>
    <r>
      <t>f</t>
    </r>
    <r>
      <rPr>
        <vertAlign val="subscript"/>
        <sz val="9"/>
        <rFont val="Arial"/>
        <family val="2"/>
      </rPr>
      <t>yd.</t>
    </r>
  </si>
  <si>
    <r>
      <t>V</t>
    </r>
    <r>
      <rPr>
        <vertAlign val="subscript"/>
        <sz val="9"/>
        <rFont val="Arial"/>
        <family val="2"/>
      </rPr>
      <t>Rd,c</t>
    </r>
  </si>
  <si>
    <r>
      <t>v</t>
    </r>
    <r>
      <rPr>
        <vertAlign val="subscript"/>
        <sz val="9"/>
        <rFont val="Arial"/>
        <family val="2"/>
      </rPr>
      <t>Rd,c</t>
    </r>
  </si>
  <si>
    <r>
      <t>v</t>
    </r>
    <r>
      <rPr>
        <vertAlign val="subscript"/>
        <sz val="9"/>
        <rFont val="Arial"/>
        <family val="2"/>
      </rPr>
      <t>min</t>
    </r>
  </si>
  <si>
    <r>
      <t>a</t>
    </r>
    <r>
      <rPr>
        <vertAlign val="subscript"/>
        <sz val="9"/>
        <rFont val="Arial"/>
        <family val="2"/>
      </rPr>
      <t>1</t>
    </r>
  </si>
  <si>
    <r>
      <t>a</t>
    </r>
    <r>
      <rPr>
        <vertAlign val="subscript"/>
        <sz val="9"/>
        <rFont val="Arial"/>
        <family val="2"/>
      </rPr>
      <t>v</t>
    </r>
  </si>
  <si>
    <r>
      <t>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</si>
  <si>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</si>
  <si>
    <t>u</t>
  </si>
  <si>
    <t>distance de l'axe du tirant à la fibre supérieure</t>
  </si>
  <si>
    <t>distance de l'axe de la charge au nu du corbeau</t>
  </si>
  <si>
    <t>béton</t>
  </si>
  <si>
    <t>acier</t>
  </si>
  <si>
    <t>"</t>
  </si>
  <si>
    <t>inclinaison bielle moyenne</t>
  </si>
  <si>
    <r>
      <t>= h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- u   hauteur utile</t>
    </r>
  </si>
  <si>
    <r>
      <t>= 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  béton</t>
    </r>
  </si>
  <si>
    <r>
      <t>= f</t>
    </r>
    <r>
      <rPr>
        <vertAlign val="subscript"/>
        <sz val="9"/>
        <rFont val="Arial"/>
        <family val="2"/>
      </rPr>
      <t>yk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 xml:space="preserve">   acier</t>
    </r>
  </si>
  <si>
    <t>Données</t>
  </si>
  <si>
    <r>
      <t>A</t>
    </r>
    <r>
      <rPr>
        <vertAlign val="subscript"/>
        <sz val="9"/>
        <rFont val="Arial"/>
        <family val="2"/>
      </rPr>
      <t>s,lnk,Hor</t>
    </r>
  </si>
  <si>
    <r>
      <t>A</t>
    </r>
    <r>
      <rPr>
        <vertAlign val="subscript"/>
        <sz val="9"/>
        <rFont val="Arial"/>
        <family val="2"/>
      </rPr>
      <t>s,lnk,Vert</t>
    </r>
  </si>
  <si>
    <t>L</t>
  </si>
  <si>
    <t>corbeau</t>
  </si>
  <si>
    <t>nœud</t>
  </si>
  <si>
    <t>bielle</t>
  </si>
  <si>
    <t>aciers</t>
  </si>
  <si>
    <r>
      <t>Calcul de V</t>
    </r>
    <r>
      <rPr>
        <b/>
        <vertAlign val="subscript"/>
        <sz val="9"/>
        <rFont val="Arial"/>
        <family val="2"/>
      </rPr>
      <t>Rd,c</t>
    </r>
  </si>
  <si>
    <t>dessin</t>
  </si>
  <si>
    <t>compris entre 45° et 68,2° ?</t>
  </si>
  <si>
    <t xml:space="preserve">Ce document est protégé par le droit d’auteur © Henry Thonier - EGF </t>
  </si>
  <si>
    <t>H. Thonier</t>
  </si>
  <si>
    <t>L'auteur n'est pas</t>
  </si>
  <si>
    <t>responsable de</t>
  </si>
  <si>
    <t>l'utilisation faite</t>
  </si>
  <si>
    <t>de ce programme</t>
  </si>
  <si>
    <t>218 - Corbeaux et consoles avec charges concentrées</t>
  </si>
  <si>
    <t>très lisse</t>
  </si>
  <si>
    <t>lisse</t>
  </si>
  <si>
    <t>rugueuse</t>
  </si>
  <si>
    <t>avec indentations</t>
  </si>
  <si>
    <t>c</t>
  </si>
  <si>
    <r>
      <t>f</t>
    </r>
    <r>
      <rPr>
        <vertAlign val="subscript"/>
        <sz val="9"/>
        <rFont val="Arial"/>
        <family val="2"/>
      </rPr>
      <t>ctm</t>
    </r>
  </si>
  <si>
    <r>
      <t>= 0,3f</t>
    </r>
    <r>
      <rPr>
        <vertAlign val="subscript"/>
        <sz val="9"/>
        <rFont val="Arial"/>
        <family val="2"/>
      </rPr>
      <t>ck</t>
    </r>
    <r>
      <rPr>
        <vertAlign val="superscript"/>
        <sz val="9"/>
        <rFont val="Arial"/>
        <family val="2"/>
      </rPr>
      <t>2/3</t>
    </r>
  </si>
  <si>
    <r>
      <t>f</t>
    </r>
    <r>
      <rPr>
        <vertAlign val="subscript"/>
        <sz val="9"/>
        <rFont val="Arial"/>
        <family val="2"/>
      </rPr>
      <t>ctd</t>
    </r>
  </si>
  <si>
    <r>
      <t>= 0,7f</t>
    </r>
    <r>
      <rPr>
        <vertAlign val="subscript"/>
        <sz val="9"/>
        <rFont val="Arial"/>
        <family val="2"/>
      </rPr>
      <t>ctm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</si>
  <si>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V</t>
    </r>
    <r>
      <rPr>
        <vertAlign val="subscript"/>
        <sz val="9"/>
        <rFont val="Arial"/>
        <family val="2"/>
      </rPr>
      <t>Rdi</t>
    </r>
  </si>
  <si>
    <t>e</t>
  </si>
  <si>
    <r>
      <t>D</t>
    </r>
    <r>
      <rPr>
        <sz val="9"/>
        <rFont val="Arial"/>
        <family val="0"/>
      </rPr>
      <t>F</t>
    </r>
  </si>
  <si>
    <r>
      <t>A</t>
    </r>
    <r>
      <rPr>
        <vertAlign val="subscript"/>
        <sz val="9"/>
        <rFont val="Arial"/>
        <family val="2"/>
      </rPr>
      <t>s,main,rqd</t>
    </r>
  </si>
  <si>
    <t>coefficient béton</t>
  </si>
  <si>
    <r>
      <t>F'</t>
    </r>
    <r>
      <rPr>
        <vertAlign val="subscript"/>
        <sz val="9"/>
        <rFont val="Arial"/>
        <family val="2"/>
      </rPr>
      <t>Ed</t>
    </r>
  </si>
  <si>
    <t>sans reprise</t>
  </si>
  <si>
    <t>Cas</t>
  </si>
  <si>
    <r>
      <t>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/h</t>
    </r>
    <r>
      <rPr>
        <vertAlign val="subscript"/>
        <sz val="9"/>
        <rFont val="Arial"/>
        <family val="2"/>
      </rPr>
      <t>c</t>
    </r>
  </si>
  <si>
    <r>
      <t>de F'</t>
    </r>
    <r>
      <rPr>
        <vertAlign val="subscript"/>
        <sz val="9"/>
        <rFont val="Arial"/>
        <family val="2"/>
      </rPr>
      <t>Ed</t>
    </r>
  </si>
  <si>
    <t>n</t>
  </si>
  <si>
    <r>
      <t>= 0,6(1 - 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/250)</t>
    </r>
  </si>
  <si>
    <r>
      <t>= 0,5b.d.</t>
    </r>
    <r>
      <rPr>
        <sz val="9"/>
        <rFont val="Symbol"/>
        <family val="1"/>
      </rPr>
      <t>n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cd</t>
    </r>
    <r>
      <rPr>
        <sz val="9"/>
        <rFont val="Arial"/>
        <family val="2"/>
      </rPr>
      <t xml:space="preserve">  effort résistant</t>
    </r>
  </si>
  <si>
    <r>
      <t>A</t>
    </r>
    <r>
      <rPr>
        <vertAlign val="subscript"/>
        <sz val="9"/>
        <rFont val="Arial"/>
        <family val="2"/>
      </rPr>
      <t>sw,Vert</t>
    </r>
  </si>
  <si>
    <t>Préfabriqué ou</t>
  </si>
  <si>
    <t>reprise de bétonnage</t>
  </si>
  <si>
    <r>
      <t>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/V</t>
    </r>
    <r>
      <rPr>
        <vertAlign val="subscript"/>
        <sz val="9"/>
        <rFont val="Arial"/>
        <family val="2"/>
      </rPr>
      <t>Rd,c</t>
    </r>
  </si>
  <si>
    <r>
      <t>b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/V</t>
    </r>
    <r>
      <rPr>
        <vertAlign val="subscript"/>
        <sz val="9"/>
        <rFont val="Arial"/>
        <family val="2"/>
      </rPr>
      <t>Rd,c</t>
    </r>
  </si>
  <si>
    <t>oui</t>
  </si>
  <si>
    <t>non</t>
  </si>
  <si>
    <r>
      <t>prise en compte du coefficient c de c.f</t>
    </r>
    <r>
      <rPr>
        <vertAlign val="subscript"/>
        <sz val="9"/>
        <rFont val="Arial"/>
        <family val="2"/>
      </rPr>
      <t>ctd</t>
    </r>
  </si>
  <si>
    <t>tirant</t>
  </si>
  <si>
    <t xml:space="preserve">longueur de la charge </t>
  </si>
  <si>
    <t>coefficient acier</t>
  </si>
  <si>
    <r>
      <t>A</t>
    </r>
    <r>
      <rPr>
        <vertAlign val="subscript"/>
        <sz val="9"/>
        <rFont val="Arial"/>
        <family val="2"/>
      </rPr>
      <t>s,main</t>
    </r>
  </si>
  <si>
    <r>
      <t>b</t>
    </r>
    <r>
      <rPr>
        <sz val="9"/>
        <rFont val="Arial"/>
        <family val="0"/>
      </rPr>
      <t>.V</t>
    </r>
    <r>
      <rPr>
        <vertAlign val="subscript"/>
        <sz val="9"/>
        <rFont val="Arial"/>
        <family val="2"/>
      </rPr>
      <t>Ed</t>
    </r>
  </si>
  <si>
    <r>
      <t>A</t>
    </r>
    <r>
      <rPr>
        <vertAlign val="subscript"/>
        <sz val="9"/>
        <rFont val="Arial"/>
        <family val="2"/>
      </rPr>
      <t>sw</t>
    </r>
    <r>
      <rPr>
        <sz val="9"/>
        <rFont val="Arial"/>
        <family val="2"/>
      </rPr>
      <t xml:space="preserve"> = </t>
    </r>
    <r>
      <rPr>
        <sz val="9"/>
        <rFont val="Symbol"/>
        <family val="1"/>
      </rPr>
      <t>b</t>
    </r>
    <r>
      <rPr>
        <sz val="9"/>
        <rFont val="Arial"/>
        <family val="0"/>
      </rPr>
      <t>.V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>/f</t>
    </r>
    <r>
      <rPr>
        <vertAlign val="subscript"/>
        <sz val="9"/>
        <rFont val="Arial"/>
        <family val="2"/>
      </rPr>
      <t>yd</t>
    </r>
  </si>
  <si>
    <t>CAS</t>
  </si>
  <si>
    <t>entre</t>
  </si>
  <si>
    <t>1 et 2,5</t>
  </si>
  <si>
    <r>
      <t>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&lt;0,5h</t>
    </r>
    <r>
      <rPr>
        <vertAlign val="subscript"/>
        <sz val="9"/>
        <rFont val="Arial"/>
        <family val="2"/>
      </rPr>
      <t>c</t>
    </r>
  </si>
  <si>
    <r>
      <t>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&gt;V</t>
    </r>
    <r>
      <rPr>
        <vertAlign val="subscript"/>
        <sz val="9"/>
        <rFont val="Arial"/>
        <family val="2"/>
      </rPr>
      <t>Rd,c</t>
    </r>
  </si>
  <si>
    <r>
      <t>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&gt;0,5h</t>
    </r>
    <r>
      <rPr>
        <vertAlign val="subscript"/>
        <sz val="9"/>
        <rFont val="Arial"/>
        <family val="2"/>
      </rPr>
      <t>c</t>
    </r>
  </si>
  <si>
    <r>
      <t>tan</t>
    </r>
    <r>
      <rPr>
        <sz val="9"/>
        <rFont val="Symbol"/>
        <family val="1"/>
      </rPr>
      <t>q</t>
    </r>
    <r>
      <rPr>
        <sz val="9"/>
        <rFont val="Arial"/>
        <family val="2"/>
      </rPr>
      <t>&lt;1</t>
    </r>
  </si>
  <si>
    <r>
      <t>a</t>
    </r>
    <r>
      <rPr>
        <vertAlign val="subscript"/>
        <sz val="9"/>
        <rFont val="Arial"/>
        <family val="2"/>
      </rPr>
      <t>v</t>
    </r>
    <r>
      <rPr>
        <sz val="9"/>
        <rFont val="Arial"/>
        <family val="0"/>
      </rPr>
      <t>&gt;2d</t>
    </r>
  </si>
  <si>
    <r>
      <t>a</t>
    </r>
    <r>
      <rPr>
        <vertAlign val="subscript"/>
        <sz val="9"/>
        <rFont val="Arial"/>
        <family val="2"/>
      </rPr>
      <t>v</t>
    </r>
    <r>
      <rPr>
        <sz val="9"/>
        <rFont val="Arial"/>
        <family val="0"/>
      </rPr>
      <t>&lt;2d</t>
    </r>
  </si>
  <si>
    <r>
      <t>b</t>
    </r>
    <r>
      <rPr>
        <sz val="9"/>
        <rFont val="Arial"/>
        <family val="0"/>
      </rPr>
      <t>.V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>&lt;V</t>
    </r>
    <r>
      <rPr>
        <vertAlign val="subscript"/>
        <sz val="9"/>
        <rFont val="Arial"/>
        <family val="2"/>
      </rPr>
      <t>Rdc</t>
    </r>
  </si>
  <si>
    <r>
      <t>b</t>
    </r>
    <r>
      <rPr>
        <sz val="9"/>
        <rFont val="Arial"/>
        <family val="0"/>
      </rPr>
      <t>.V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>&gt;V</t>
    </r>
    <r>
      <rPr>
        <vertAlign val="subscript"/>
        <sz val="9"/>
        <rFont val="Arial"/>
        <family val="2"/>
      </rPr>
      <t>Rdc</t>
    </r>
  </si>
  <si>
    <t>conditions</t>
  </si>
  <si>
    <r>
      <t>A</t>
    </r>
    <r>
      <rPr>
        <vertAlign val="subscript"/>
        <sz val="9"/>
        <rFont val="Arial"/>
        <family val="2"/>
      </rPr>
      <t>sw</t>
    </r>
    <r>
      <rPr>
        <sz val="9"/>
        <rFont val="Arial"/>
        <family val="2"/>
      </rPr>
      <t>/s</t>
    </r>
  </si>
  <si>
    <r>
      <t>A</t>
    </r>
    <r>
      <rPr>
        <vertAlign val="subscript"/>
        <sz val="9"/>
        <rFont val="Arial"/>
        <family val="2"/>
      </rPr>
      <t>s,lnk</t>
    </r>
  </si>
  <si>
    <r>
      <t>H</t>
    </r>
    <r>
      <rPr>
        <vertAlign val="subscript"/>
        <sz val="9"/>
        <rFont val="Arial"/>
        <family val="2"/>
      </rPr>
      <t>Ed</t>
    </r>
  </si>
  <si>
    <t>force horizontale en tête</t>
  </si>
  <si>
    <r>
      <t>6 exemples sans effort horizontal H</t>
    </r>
    <r>
      <rPr>
        <vertAlign val="subscript"/>
        <sz val="9"/>
        <rFont val="Arial"/>
        <family val="2"/>
      </rPr>
      <t>Ed</t>
    </r>
  </si>
  <si>
    <r>
      <t>=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/(z.f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)</t>
    </r>
  </si>
  <si>
    <r>
      <t>≈</t>
    </r>
    <r>
      <rPr>
        <sz val="9"/>
        <rFont val="Arial"/>
        <family val="0"/>
      </rPr>
      <t xml:space="preserve"> 0,9d  bras de levier pour reprise de la force horizontale H</t>
    </r>
    <r>
      <rPr>
        <vertAlign val="subscript"/>
        <sz val="9"/>
        <rFont val="Arial"/>
        <family val="2"/>
      </rPr>
      <t>Ed</t>
    </r>
  </si>
  <si>
    <r>
      <t>s</t>
    </r>
    <r>
      <rPr>
        <vertAlign val="subscript"/>
        <sz val="9"/>
        <rFont val="Arial"/>
        <family val="2"/>
      </rPr>
      <t>lim</t>
    </r>
  </si>
  <si>
    <r>
      <t>=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/(b.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lim</t>
    </r>
    <r>
      <rPr>
        <sz val="9"/>
        <rFont val="Arial"/>
        <family val="0"/>
      </rPr>
      <t>)   longueur du noeud triangulaire</t>
    </r>
  </si>
  <si>
    <r>
      <t>h</t>
    </r>
    <r>
      <rPr>
        <vertAlign val="subscript"/>
        <sz val="9"/>
        <rFont val="Arial"/>
        <family val="2"/>
      </rPr>
      <t>1</t>
    </r>
  </si>
  <si>
    <t>a</t>
  </si>
  <si>
    <t>charge ponctuelle verticale</t>
  </si>
  <si>
    <t>largeur du corbeau</t>
  </si>
  <si>
    <t>hauteur totale du corbeau</t>
  </si>
  <si>
    <r>
      <t>longueur du corbeau</t>
    </r>
    <r>
      <rPr>
        <sz val="9"/>
        <rFont val="Arial Narrow"/>
        <family val="2"/>
      </rPr>
      <t xml:space="preserve"> (pour le dessin)</t>
    </r>
  </si>
  <si>
    <r>
      <t>z</t>
    </r>
    <r>
      <rPr>
        <vertAlign val="subscript"/>
        <sz val="9"/>
        <rFont val="Arial"/>
        <family val="2"/>
      </rPr>
      <t>1</t>
    </r>
  </si>
  <si>
    <r>
      <t>F</t>
    </r>
    <r>
      <rPr>
        <vertAlign val="subscript"/>
        <sz val="9"/>
        <rFont val="Arial"/>
        <family val="2"/>
      </rPr>
      <t>1</t>
    </r>
  </si>
  <si>
    <r>
      <t>F</t>
    </r>
    <r>
      <rPr>
        <vertAlign val="subscript"/>
        <sz val="9"/>
        <rFont val="Arial"/>
        <family val="2"/>
      </rPr>
      <t>2</t>
    </r>
  </si>
  <si>
    <r>
      <t>= H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.(z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+ u)/z</t>
    </r>
    <r>
      <rPr>
        <vertAlign val="subscript"/>
        <sz val="9"/>
        <rFont val="Arial"/>
        <family val="2"/>
      </rPr>
      <t>1</t>
    </r>
  </si>
  <si>
    <r>
      <t>= F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- H</t>
    </r>
    <r>
      <rPr>
        <vertAlign val="subscript"/>
        <sz val="9"/>
        <rFont val="Arial"/>
        <family val="2"/>
      </rPr>
      <t>Ed</t>
    </r>
  </si>
  <si>
    <r>
      <t xml:space="preserve">= 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Rd,max</t>
    </r>
    <r>
      <rPr>
        <sz val="9"/>
        <rFont val="Arial"/>
        <family val="0"/>
      </rPr>
      <t xml:space="preserve"> - F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/(0,2d.b)   contrainte limite admise pour le neud </t>
    </r>
  </si>
  <si>
    <r>
      <t>= (d + (d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- 2a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.a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- a</t>
    </r>
    <r>
      <rPr>
        <vertAlign val="subscript"/>
        <sz val="9"/>
        <rFont val="Arial"/>
        <family val="2"/>
      </rPr>
      <t>1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) / (2a</t>
    </r>
    <r>
      <rPr>
        <vertAlign val="subscript"/>
        <sz val="9"/>
        <rFont val="Arial"/>
        <family val="2"/>
      </rPr>
      <t xml:space="preserve">c </t>
    </r>
    <r>
      <rPr>
        <sz val="9"/>
        <rFont val="Arial"/>
        <family val="0"/>
      </rPr>
      <t>+ a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</t>
    </r>
  </si>
  <si>
    <r>
      <t>= 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.tan</t>
    </r>
    <r>
      <rPr>
        <sz val="9"/>
        <rFont val="Symbol"/>
        <family val="1"/>
      </rPr>
      <t>q</t>
    </r>
  </si>
  <si>
    <r>
      <t>= (1 - 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/250).f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</si>
  <si>
    <r>
      <t>= a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/tan</t>
    </r>
    <r>
      <rPr>
        <sz val="9"/>
        <rFont val="Symbol"/>
        <family val="1"/>
      </rPr>
      <t xml:space="preserve">q </t>
    </r>
    <r>
      <rPr>
        <sz val="9"/>
        <rFont val="Arial"/>
        <family val="0"/>
      </rPr>
      <t xml:space="preserve">  hauteur du nœud inférieur</t>
    </r>
  </si>
  <si>
    <t>voir Organigramme ci-dessous</t>
  </si>
  <si>
    <r>
      <t>a</t>
    </r>
    <r>
      <rPr>
        <vertAlign val="subscript"/>
        <sz val="9"/>
        <rFont val="Arial"/>
        <family val="2"/>
      </rPr>
      <t>2</t>
    </r>
  </si>
  <si>
    <r>
      <t>=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/(b.a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) ≤ 0,85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Rd,max</t>
    </r>
  </si>
  <si>
    <r>
      <t>0,85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Rd,max</t>
    </r>
  </si>
  <si>
    <t>souple</t>
  </si>
  <si>
    <t>rigide</t>
  </si>
  <si>
    <t>nature de l'appui de la charge</t>
  </si>
  <si>
    <t>type de reprise béton éventuellement</t>
  </si>
  <si>
    <t>= a + 2u</t>
  </si>
  <si>
    <t>largeur nœud supérieur</t>
  </si>
  <si>
    <r>
      <t>= a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.(d - h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)/(a</t>
    </r>
    <r>
      <rPr>
        <vertAlign val="subscript"/>
        <sz val="9"/>
        <rFont val="Arial"/>
        <family val="2"/>
      </rPr>
      <t>v</t>
    </r>
    <r>
      <rPr>
        <sz val="9"/>
        <rFont val="Arial"/>
        <family val="0"/>
      </rPr>
      <t xml:space="preserve"> - u)</t>
    </r>
  </si>
  <si>
    <r>
      <t>h</t>
    </r>
    <r>
      <rPr>
        <vertAlign val="subscript"/>
        <sz val="9"/>
        <rFont val="Arial"/>
        <family val="2"/>
      </rPr>
      <t>comp</t>
    </r>
  </si>
  <si>
    <r>
      <t xml:space="preserve">transmis directement </t>
    </r>
    <r>
      <rPr>
        <sz val="9"/>
        <rFont val="Arial Narrow"/>
        <family val="2"/>
      </rPr>
      <t>par l'engravure</t>
    </r>
  </si>
  <si>
    <r>
      <t xml:space="preserve">= </t>
    </r>
    <r>
      <rPr>
        <sz val="9"/>
        <rFont val="Arial"/>
        <family val="0"/>
      </rPr>
      <t>A</t>
    </r>
    <r>
      <rPr>
        <vertAlign val="subscript"/>
        <sz val="9"/>
        <rFont val="Arial"/>
        <family val="2"/>
      </rPr>
      <t>s,lnk,Hor</t>
    </r>
    <r>
      <rPr>
        <sz val="9"/>
        <rFont val="Arial"/>
        <family val="0"/>
      </rPr>
      <t>/(b.d</t>
    </r>
  </si>
  <si>
    <r>
      <t>r</t>
    </r>
    <r>
      <rPr>
        <vertAlign val="subscript"/>
        <sz val="9"/>
        <rFont val="Arial"/>
        <family val="2"/>
      </rPr>
      <t>H</t>
    </r>
  </si>
  <si>
    <r>
      <t>=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 xml:space="preserve"> - </t>
    </r>
    <r>
      <rPr>
        <sz val="9"/>
        <rFont val="Symbol"/>
        <family val="1"/>
      </rPr>
      <t>D</t>
    </r>
    <r>
      <rPr>
        <sz val="9"/>
        <rFont val="Arial"/>
        <family val="0"/>
      </rPr>
      <t xml:space="preserve">F   </t>
    </r>
    <r>
      <rPr>
        <sz val="9"/>
        <rFont val="Arial Narrow"/>
        <family val="2"/>
      </rPr>
      <t>effort à reprendre le long de la reprise</t>
    </r>
  </si>
  <si>
    <r>
      <t>= c.f</t>
    </r>
    <r>
      <rPr>
        <vertAlign val="subscript"/>
        <sz val="9"/>
        <rFont val="Arial"/>
        <family val="2"/>
      </rPr>
      <t>ctd</t>
    </r>
    <r>
      <rPr>
        <sz val="9"/>
        <rFont val="Arial"/>
        <family val="0"/>
      </rPr>
      <t xml:space="preserve"> .b.h</t>
    </r>
    <r>
      <rPr>
        <vertAlign val="subscript"/>
        <sz val="9"/>
        <rFont val="Arial"/>
        <family val="2"/>
      </rPr>
      <t>comp</t>
    </r>
    <r>
      <rPr>
        <sz val="9"/>
        <rFont val="Arial"/>
        <family val="0"/>
      </rPr>
      <t xml:space="preserve"> + </t>
    </r>
    <r>
      <rPr>
        <sz val="9"/>
        <rFont val="Symbol"/>
        <family val="1"/>
      </rPr>
      <t>m</t>
    </r>
    <r>
      <rPr>
        <sz val="9"/>
        <rFont val="Arial"/>
        <family val="2"/>
      </rPr>
      <t>.(F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>.cot</t>
    </r>
    <r>
      <rPr>
        <sz val="9"/>
        <rFont val="Symbol"/>
        <family val="1"/>
      </rPr>
      <t>q</t>
    </r>
    <r>
      <rPr>
        <sz val="9"/>
        <rFont val="Arial"/>
        <family val="2"/>
      </rPr>
      <t xml:space="preserve"> - H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 xml:space="preserve"> + </t>
    </r>
    <r>
      <rPr>
        <sz val="9"/>
        <rFont val="Symbol"/>
        <family val="1"/>
      </rPr>
      <t>r</t>
    </r>
    <r>
      <rPr>
        <vertAlign val="subscript"/>
        <sz val="9"/>
        <rFont val="Arial"/>
        <family val="2"/>
      </rPr>
      <t>H</t>
    </r>
    <r>
      <rPr>
        <sz val="9"/>
        <rFont val="Arial"/>
        <family val="2"/>
      </rPr>
      <t>.f</t>
    </r>
    <r>
      <rPr>
        <vertAlign val="subscript"/>
        <sz val="9"/>
        <rFont val="Arial"/>
        <family val="2"/>
      </rPr>
      <t>yd</t>
    </r>
    <r>
      <rPr>
        <sz val="9"/>
        <rFont val="Arial"/>
        <family val="2"/>
      </rPr>
      <t>)</t>
    </r>
  </si>
  <si>
    <r>
      <t>=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.a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/(z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 xml:space="preserve">   </t>
    </r>
  </si>
  <si>
    <r>
      <t>= A</t>
    </r>
    <r>
      <rPr>
        <vertAlign val="subscript"/>
        <sz val="9"/>
        <rFont val="Arial"/>
        <family val="2"/>
      </rPr>
      <t>s,main</t>
    </r>
    <r>
      <rPr>
        <sz val="9"/>
        <rFont val="Arial"/>
        <family val="0"/>
      </rPr>
      <t>/(b.d)</t>
    </r>
  </si>
  <si>
    <r>
      <t>= 1 + (0,2/d)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 xml:space="preserve"> ≤ 2</t>
    </r>
  </si>
  <si>
    <r>
      <t>= 0,12.k.(100</t>
    </r>
    <r>
      <rPr>
        <sz val="9"/>
        <rFont val="Symbol"/>
        <family val="1"/>
      </rPr>
      <t>r</t>
    </r>
    <r>
      <rPr>
        <vertAlign val="subscript"/>
        <sz val="9"/>
        <rFont val="Arial"/>
        <family val="2"/>
      </rPr>
      <t>l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1/3</t>
    </r>
  </si>
  <si>
    <r>
      <t>=0,035.k</t>
    </r>
    <r>
      <rPr>
        <vertAlign val="superscript"/>
        <sz val="9"/>
        <rFont val="Arial"/>
        <family val="2"/>
      </rPr>
      <t>1,5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ck</t>
    </r>
    <r>
      <rPr>
        <vertAlign val="superscript"/>
        <sz val="9"/>
        <rFont val="Arial"/>
        <family val="2"/>
      </rPr>
      <t>0,5</t>
    </r>
  </si>
  <si>
    <r>
      <t>= Max[v</t>
    </r>
    <r>
      <rPr>
        <vertAlign val="subscript"/>
        <sz val="9"/>
        <rFont val="Arial"/>
        <family val="2"/>
      </rPr>
      <t>Rd,c</t>
    </r>
    <r>
      <rPr>
        <sz val="9"/>
        <rFont val="Arial"/>
        <family val="0"/>
      </rPr>
      <t xml:space="preserve"> ; v</t>
    </r>
    <r>
      <rPr>
        <vertAlign val="subscript"/>
        <sz val="9"/>
        <rFont val="Arial"/>
        <family val="2"/>
      </rPr>
      <t>min</t>
    </r>
    <r>
      <rPr>
        <sz val="9"/>
        <rFont val="Arial"/>
        <family val="0"/>
      </rPr>
      <t>].b.d</t>
    </r>
  </si>
  <si>
    <r>
      <t>= ;0,5a</t>
    </r>
    <r>
      <rPr>
        <vertAlign val="subscript"/>
        <sz val="9"/>
        <rFont val="Arial"/>
        <family val="2"/>
      </rPr>
      <t>v</t>
    </r>
    <r>
      <rPr>
        <sz val="9"/>
        <rFont val="Arial"/>
        <family val="0"/>
      </rPr>
      <t>/d  entre 0 et 1</t>
    </r>
  </si>
  <si>
    <r>
      <t>V</t>
    </r>
    <r>
      <rPr>
        <vertAlign val="subscript"/>
        <sz val="9"/>
        <rFont val="Arial"/>
        <family val="2"/>
      </rPr>
      <t>Rd</t>
    </r>
  </si>
  <si>
    <t>coulés en place avec ou sans reprise de bétonnage ou préfabriqués</t>
  </si>
  <si>
    <t>profondeur d'appui en engravure éventuellement (préfa)</t>
  </si>
  <si>
    <t>&lt; 0,5 ?</t>
  </si>
  <si>
    <t>&lt; 1 ?</t>
  </si>
  <si>
    <t>entre 1 et 2,5 ?</t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</si>
  <si>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/s)</t>
    </r>
    <r>
      <rPr>
        <vertAlign val="subscript"/>
        <sz val="9"/>
        <rFont val="Arial"/>
        <family val="2"/>
      </rPr>
      <t>min</t>
    </r>
  </si>
  <si>
    <r>
      <t>= 0,08b.f</t>
    </r>
    <r>
      <rPr>
        <vertAlign val="subscript"/>
        <sz val="9"/>
        <rFont val="Arial"/>
        <family val="2"/>
      </rPr>
      <t>ck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yk</t>
    </r>
  </si>
  <si>
    <t>Armatures mises en place</t>
  </si>
  <si>
    <t>armatures d'effort tranchant éventuelles</t>
  </si>
  <si>
    <r>
      <t>= b.e.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lim</t>
    </r>
  </si>
  <si>
    <r>
      <t>= 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- a</t>
    </r>
    <r>
      <rPr>
        <sz val="9"/>
        <rFont val="Arial"/>
        <family val="0"/>
      </rPr>
      <t>/2  ou  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  </t>
    </r>
    <r>
      <rPr>
        <sz val="9"/>
        <rFont val="Arial Narrow"/>
        <family val="2"/>
      </rPr>
      <t>distance de l'appui de la charge au nu du corbeau</t>
    </r>
  </si>
  <si>
    <r>
      <t>=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/(b.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lim</t>
    </r>
    <r>
      <rPr>
        <sz val="9"/>
        <rFont val="Arial"/>
        <family val="0"/>
      </rPr>
      <t>)   longueur du noeud inférieur</t>
    </r>
  </si>
  <si>
    <r>
      <t>=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.a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/(z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) + H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.(z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+u)/(z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>)   si a</t>
    </r>
    <r>
      <rPr>
        <vertAlign val="subscript"/>
        <sz val="9"/>
        <rFont val="Arial"/>
        <family val="2"/>
      </rPr>
      <t>v</t>
    </r>
    <r>
      <rPr>
        <sz val="9"/>
        <rFont val="Arial"/>
        <family val="0"/>
      </rPr>
      <t xml:space="preserve"> &gt; 2d</t>
    </r>
  </si>
  <si>
    <r>
      <t>= 0,25 A</t>
    </r>
    <r>
      <rPr>
        <vertAlign val="subscript"/>
        <sz val="9"/>
        <rFont val="Arial"/>
        <family val="2"/>
      </rPr>
      <t>s,main</t>
    </r>
    <r>
      <rPr>
        <sz val="9"/>
        <rFont val="Arial"/>
        <family val="2"/>
      </rPr>
      <t xml:space="preserve">   si a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</t>
    </r>
    <r>
      <rPr>
        <sz val="9"/>
        <rFont val="Arial"/>
        <family val="0"/>
      </rPr>
      <t>≤</t>
    </r>
    <r>
      <rPr>
        <sz val="9"/>
        <rFont val="Arial"/>
        <family val="2"/>
      </rPr>
      <t xml:space="preserve"> h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et </t>
    </r>
    <r>
      <rPr>
        <sz val="9"/>
        <rFont val="Symbol"/>
        <family val="1"/>
      </rPr>
      <t>b</t>
    </r>
    <r>
      <rPr>
        <sz val="9"/>
        <rFont val="Arial"/>
        <family val="2"/>
      </rPr>
      <t xml:space="preserve"> </t>
    </r>
    <r>
      <rPr>
        <sz val="9"/>
        <rFont val="Symbol"/>
        <family val="1"/>
      </rPr>
      <t>Î</t>
    </r>
    <r>
      <rPr>
        <sz val="9"/>
        <rFont val="Arial"/>
        <family val="2"/>
      </rPr>
      <t xml:space="preserve"> [1;2,5]</t>
    </r>
  </si>
  <si>
    <r>
      <t>= 0,5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 xml:space="preserve">   si 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&gt; 0,5h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et </t>
    </r>
    <r>
      <rPr>
        <sz val="9"/>
        <rFont val="Symbol"/>
        <family val="1"/>
      </rPr>
      <t>b</t>
    </r>
    <r>
      <rPr>
        <sz val="9"/>
        <rFont val="Arial"/>
        <family val="0"/>
      </rPr>
      <t xml:space="preserve"> </t>
    </r>
    <r>
      <rPr>
        <sz val="9"/>
        <rFont val="Symbol"/>
        <family val="1"/>
      </rPr>
      <t>Î</t>
    </r>
    <r>
      <rPr>
        <sz val="9"/>
        <rFont val="Arial"/>
        <family val="0"/>
      </rPr>
      <t>[1;2,5]</t>
    </r>
  </si>
  <si>
    <t>facier(tanq, ac, av, b, d, hc, Asm, FEd, VRdc, fyd, Asmin, code)</t>
  </si>
  <si>
    <r>
      <t xml:space="preserve">sinon = </t>
    </r>
    <r>
      <rPr>
        <sz val="9"/>
        <rFont val="Symbol"/>
        <family val="1"/>
      </rPr>
      <t>b</t>
    </r>
    <r>
      <rPr>
        <sz val="9"/>
        <rFont val="Arial"/>
        <family val="0"/>
      </rPr>
      <t>.V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yd</t>
    </r>
    <r>
      <rPr>
        <sz val="9"/>
        <rFont val="Arial"/>
        <family val="0"/>
      </rPr>
      <t xml:space="preserve"> dans les 0,75 a</t>
    </r>
    <r>
      <rPr>
        <vertAlign val="subscript"/>
        <sz val="9"/>
        <rFont val="Arial"/>
        <family val="2"/>
      </rPr>
      <t>v</t>
    </r>
    <r>
      <rPr>
        <sz val="9"/>
        <rFont val="Arial"/>
        <family val="0"/>
      </rPr>
      <t xml:space="preserve"> centrés</t>
    </r>
  </si>
  <si>
    <r>
      <t>b</t>
    </r>
    <r>
      <rPr>
        <sz val="9"/>
        <rFont val="Arial"/>
        <family val="0"/>
      </rPr>
      <t xml:space="preserve"> = 0,5a</t>
    </r>
    <r>
      <rPr>
        <vertAlign val="subscript"/>
        <sz val="9"/>
        <rFont val="Arial"/>
        <family val="2"/>
      </rPr>
      <t>v</t>
    </r>
    <r>
      <rPr>
        <sz val="9"/>
        <rFont val="Arial"/>
        <family val="0"/>
      </rPr>
      <t>/d</t>
    </r>
  </si>
  <si>
    <r>
      <t>s</t>
    </r>
    <r>
      <rPr>
        <vertAlign val="subscript"/>
        <sz val="9"/>
        <rFont val="Arial"/>
        <family val="2"/>
      </rPr>
      <t>bielle</t>
    </r>
  </si>
  <si>
    <t>Armatures nécessaires</t>
  </si>
  <si>
    <r>
      <t>= 1+(0,2/d)</t>
    </r>
    <r>
      <rPr>
        <vertAlign val="superscript"/>
        <sz val="9"/>
        <rFont val="Arial"/>
        <family val="2"/>
      </rPr>
      <t>0,5</t>
    </r>
  </si>
  <si>
    <r>
      <t>A</t>
    </r>
    <r>
      <rPr>
        <vertAlign val="subscript"/>
        <sz val="9"/>
        <rFont val="Arial"/>
        <family val="2"/>
      </rPr>
      <t>s,min</t>
    </r>
  </si>
  <si>
    <r>
      <t>= 0,08b.(f</t>
    </r>
    <r>
      <rPr>
        <vertAlign val="subscript"/>
        <sz val="9"/>
        <rFont val="Arial"/>
        <family val="2"/>
      </rPr>
      <t>ck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yk</t>
    </r>
  </si>
  <si>
    <r>
      <t xml:space="preserve">&lt;= 1 ?     </t>
    </r>
    <r>
      <rPr>
        <sz val="9"/>
        <rFont val="Arial Narrow"/>
        <family val="2"/>
      </rPr>
      <t>coefficient de réduction</t>
    </r>
  </si>
  <si>
    <t>Conditionsà vérifier</t>
  </si>
  <si>
    <t>(voir organigramme ci-dessous)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</si>
</sst>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0.0000"/>
    <numFmt numFmtId="169" formatCode="0.00000"/>
    <numFmt numFmtId="170" formatCode="0.000000"/>
    <numFmt numFmtId="171" formatCode="0.0%"/>
  </numFmts>
  <fonts count="16">
    <font>
      <sz val="9"/>
      <name val="Arial"/>
      <family val="0"/>
    </font>
    <font>
      <vertAlign val="subscript"/>
      <sz val="9"/>
      <name val="Arial"/>
      <family val="2"/>
    </font>
    <font>
      <sz val="9"/>
      <name val="Symbol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9"/>
      <name val="Arial Narrow"/>
      <family val="2"/>
    </font>
    <font>
      <b/>
      <vertAlign val="subscript"/>
      <sz val="9"/>
      <name val="Tahoma"/>
      <family val="2"/>
    </font>
    <font>
      <b/>
      <vertAlign val="subscript"/>
      <sz val="9"/>
      <name val="Arial"/>
      <family val="2"/>
    </font>
    <font>
      <sz val="8"/>
      <name val="Arial"/>
      <family val="0"/>
    </font>
    <font>
      <b/>
      <sz val="9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 diagonalUp="1" diagonalDown="1">
      <left style="thin"/>
      <right style="thin"/>
      <top style="thin"/>
      <bottom style="thin"/>
      <diagonal style="thin">
        <color indexed="23"/>
      </diagonal>
    </border>
    <border>
      <left style="thin"/>
      <right>
        <color indexed="63"/>
      </right>
      <top style="hair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>
        <color indexed="23"/>
      </diagonal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thick"/>
      <top style="hair"/>
      <bottom>
        <color indexed="63"/>
      </bottom>
    </border>
    <border>
      <left style="thick"/>
      <right style="thick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165" fontId="0" fillId="0" borderId="3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4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8" xfId="0" applyBorder="1" applyAlignment="1">
      <alignment horizontal="right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quotePrefix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1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quotePrefix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lef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3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2" fontId="0" fillId="0" borderId="1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5" borderId="21" xfId="0" applyNumberFormat="1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1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2" fontId="3" fillId="2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4" fontId="0" fillId="2" borderId="1" xfId="0" applyNumberFormat="1" applyFont="1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2" fontId="0" fillId="5" borderId="23" xfId="0" applyNumberFormat="1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3" fillId="4" borderId="2" xfId="0" applyNumberFormat="1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171" fontId="3" fillId="4" borderId="2" xfId="21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" borderId="26" xfId="0" applyFill="1" applyBorder="1" applyAlignment="1" applyProtection="1">
      <alignment horizontal="center"/>
      <protection locked="0"/>
    </xf>
    <xf numFmtId="0" fontId="9" fillId="3" borderId="27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3375"/>
          <c:h val="0.908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Feuil1!$Y$60</c:f>
              <c:strCache>
                <c:ptCount val="1"/>
                <c:pt idx="0">
                  <c:v>corbeau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Feuil1!$X$61:$X$97</c:f>
              <c:numCache/>
            </c:numRef>
          </c:xVal>
          <c:yVal>
            <c:numRef>
              <c:f>Feuil1!$Y$61:$Y$97</c:f>
              <c:numCache/>
            </c:numRef>
          </c:yVal>
          <c:smooth val="0"/>
        </c:ser>
        <c:ser>
          <c:idx val="1"/>
          <c:order val="1"/>
          <c:tx>
            <c:strRef>
              <c:f>Feuil1!$Z$60</c:f>
              <c:strCache>
                <c:ptCount val="1"/>
                <c:pt idx="0">
                  <c:v>nœud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Feuil1!$X$61:$X$97</c:f>
              <c:numCache/>
            </c:numRef>
          </c:xVal>
          <c:yVal>
            <c:numRef>
              <c:f>Feuil1!$Z$61:$Z$97</c:f>
              <c:numCache/>
            </c:numRef>
          </c:yVal>
          <c:smooth val="0"/>
        </c:ser>
        <c:ser>
          <c:idx val="2"/>
          <c:order val="2"/>
          <c:tx>
            <c:strRef>
              <c:f>Feuil1!$AA$60</c:f>
              <c:strCache>
                <c:ptCount val="1"/>
                <c:pt idx="0">
                  <c:v>bielle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Feuil1!$X$61:$X$97</c:f>
              <c:numCache/>
            </c:numRef>
          </c:xVal>
          <c:yVal>
            <c:numRef>
              <c:f>Feuil1!$AA$61:$AA$97</c:f>
              <c:numCache/>
            </c:numRef>
          </c:yVal>
          <c:smooth val="0"/>
        </c:ser>
        <c:ser>
          <c:idx val="3"/>
          <c:order val="3"/>
          <c:tx>
            <c:strRef>
              <c:f>Feuil1!$AB$60</c:f>
              <c:strCache>
                <c:ptCount val="1"/>
                <c:pt idx="0">
                  <c:v>tirant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Feuil1!$X$61:$X$97</c:f>
              <c:numCache/>
            </c:numRef>
          </c:xVal>
          <c:yVal>
            <c:numRef>
              <c:f>Feuil1!$AB$61:$AB$97</c:f>
              <c:numCache/>
            </c:numRef>
          </c:yVal>
          <c:smooth val="0"/>
        </c:ser>
        <c:ser>
          <c:idx val="4"/>
          <c:order val="4"/>
          <c:tx>
            <c:strRef>
              <c:f>Feuil1!$AC$60</c:f>
              <c:strCache>
                <c:ptCount val="1"/>
                <c:pt idx="0">
                  <c:v>aciers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Feuil1!$X$61:$X$97</c:f>
              <c:numCache/>
            </c:numRef>
          </c:xVal>
          <c:yVal>
            <c:numRef>
              <c:f>Feuil1!$AC$61:$AC$97</c:f>
              <c:numCache/>
            </c:numRef>
          </c:yVal>
          <c:smooth val="0"/>
        </c:ser>
        <c:axId val="46045651"/>
        <c:axId val="11757676"/>
      </c:scatterChart>
      <c:valAx>
        <c:axId val="460456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57676"/>
        <c:crosses val="autoZero"/>
        <c:crossBetween val="midCat"/>
        <c:dispUnits/>
      </c:valAx>
      <c:valAx>
        <c:axId val="11757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60456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33</xdr:row>
      <xdr:rowOff>85725</xdr:rowOff>
    </xdr:from>
    <xdr:to>
      <xdr:col>23</xdr:col>
      <xdr:colOff>381000</xdr:colOff>
      <xdr:row>42</xdr:row>
      <xdr:rowOff>85725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743575"/>
          <a:ext cx="42195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46</xdr:row>
      <xdr:rowOff>9525</xdr:rowOff>
    </xdr:from>
    <xdr:to>
      <xdr:col>14</xdr:col>
      <xdr:colOff>495300</xdr:colOff>
      <xdr:row>60</xdr:row>
      <xdr:rowOff>85725</xdr:rowOff>
    </xdr:to>
    <xdr:graphicFrame>
      <xdr:nvGraphicFramePr>
        <xdr:cNvPr id="2" name="Chart 60"/>
        <xdr:cNvGraphicFramePr/>
      </xdr:nvGraphicFramePr>
      <xdr:xfrm>
        <a:off x="4991100" y="8020050"/>
        <a:ext cx="27336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15</xdr:col>
      <xdr:colOff>333375</xdr:colOff>
      <xdr:row>60</xdr:row>
      <xdr:rowOff>28575</xdr:rowOff>
    </xdr:from>
    <xdr:to>
      <xdr:col>21</xdr:col>
      <xdr:colOff>342900</xdr:colOff>
      <xdr:row>77</xdr:row>
      <xdr:rowOff>47625</xdr:rowOff>
    </xdr:to>
    <xdr:pic>
      <xdr:nvPicPr>
        <xdr:cNvPr id="3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34350" y="10477500"/>
          <a:ext cx="3152775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E97"/>
  <sheetViews>
    <sheetView showGridLines="0" tabSelected="1" view="pageBreakPreview" zoomScaleSheetLayoutView="100" workbookViewId="0" topLeftCell="A34">
      <selection activeCell="E44" sqref="E44"/>
    </sheetView>
  </sheetViews>
  <sheetFormatPr defaultColWidth="11.421875" defaultRowHeight="12"/>
  <cols>
    <col min="1" max="1" width="9.7109375" style="1" customWidth="1"/>
    <col min="2" max="2" width="8.00390625" style="1" customWidth="1"/>
    <col min="3" max="5" width="7.421875" style="1" customWidth="1"/>
    <col min="6" max="6" width="8.140625" style="1" customWidth="1"/>
    <col min="7" max="7" width="8.28125" style="1" customWidth="1"/>
    <col min="8" max="14" width="7.421875" style="1" customWidth="1"/>
    <col min="15" max="15" width="8.57421875" style="1" customWidth="1"/>
    <col min="16" max="16" width="7.421875" style="1" customWidth="1"/>
    <col min="17" max="17" width="4.421875" style="1" customWidth="1"/>
    <col min="18" max="19" width="8.7109375" style="1" customWidth="1"/>
    <col min="20" max="20" width="9.140625" style="1" customWidth="1"/>
    <col min="21" max="23" width="8.7109375" style="1" customWidth="1"/>
    <col min="24" max="16384" width="7.421875" style="1" customWidth="1"/>
  </cols>
  <sheetData>
    <row r="1" spans="1:18" ht="12.75" thickBot="1">
      <c r="A1" s="32"/>
      <c r="B1" s="124" t="s">
        <v>51</v>
      </c>
      <c r="C1" s="124"/>
      <c r="D1" s="124"/>
      <c r="E1" s="124"/>
      <c r="F1" s="124"/>
      <c r="G1" s="124"/>
      <c r="H1" s="124"/>
      <c r="I1" s="124"/>
      <c r="L1" s="33" t="s">
        <v>52</v>
      </c>
      <c r="R1" s="4" t="s">
        <v>171</v>
      </c>
    </row>
    <row r="2" spans="1:18" ht="13.5">
      <c r="A2" s="21" t="s">
        <v>57</v>
      </c>
      <c r="L2" s="33" t="s">
        <v>53</v>
      </c>
      <c r="R2" s="4" t="s">
        <v>110</v>
      </c>
    </row>
    <row r="3" spans="1:23" ht="12">
      <c r="A3" s="21" t="s">
        <v>156</v>
      </c>
      <c r="L3" s="33" t="s">
        <v>54</v>
      </c>
      <c r="Q3" s="44" t="s">
        <v>94</v>
      </c>
      <c r="R3" s="62">
        <f>facier(R15,R8,R9,R5,R7,R6,R17,R4,R12,R11,R18,0)</f>
        <v>1</v>
      </c>
      <c r="S3" s="62">
        <f>facier(S15,S8,S9,S5,S7,S6,S17,S4,S12,S11,S18,0)</f>
        <v>2</v>
      </c>
      <c r="T3" s="62">
        <f>facier(T15,T8,T9,T5,T7,T6,T17,T4,T12,T11,T18,0)</f>
        <v>3</v>
      </c>
      <c r="U3" s="62">
        <f>facier(U15,U8,U9,U5,U7,U6,U17,U4,U12,U11,U18,0)</f>
        <v>4</v>
      </c>
      <c r="V3" s="62">
        <f>facier(V15,V8,V9,V5,V7,V6,V17,V4,V12,V11,V18,0)</f>
        <v>5</v>
      </c>
      <c r="W3" s="63"/>
    </row>
    <row r="4" spans="12:23" ht="13.5">
      <c r="L4" s="33" t="s">
        <v>55</v>
      </c>
      <c r="Q4" s="2" t="s">
        <v>3</v>
      </c>
      <c r="R4" s="118">
        <v>0.9</v>
      </c>
      <c r="S4" s="118">
        <v>0.9</v>
      </c>
      <c r="T4" s="118">
        <v>0.05</v>
      </c>
      <c r="U4" s="118">
        <v>0.1</v>
      </c>
      <c r="V4" s="118">
        <v>0.3</v>
      </c>
      <c r="W4" s="4" t="s">
        <v>11</v>
      </c>
    </row>
    <row r="5" spans="2:23" ht="12.75" thickBot="1">
      <c r="B5" s="6" t="s">
        <v>40</v>
      </c>
      <c r="L5" s="33" t="s">
        <v>56</v>
      </c>
      <c r="Q5" s="2" t="s">
        <v>0</v>
      </c>
      <c r="R5" s="119">
        <v>0.3</v>
      </c>
      <c r="S5" s="119">
        <v>0.3</v>
      </c>
      <c r="T5" s="119">
        <v>0.3</v>
      </c>
      <c r="U5" s="119">
        <v>0.3</v>
      </c>
      <c r="V5" s="119">
        <v>0.3</v>
      </c>
      <c r="W5" s="4" t="s">
        <v>10</v>
      </c>
    </row>
    <row r="6" spans="1:23" ht="14.25" thickTop="1">
      <c r="A6" s="2" t="s">
        <v>17</v>
      </c>
      <c r="B6" s="39">
        <v>30</v>
      </c>
      <c r="C6" s="4" t="s">
        <v>12</v>
      </c>
      <c r="D6" s="4" t="s">
        <v>33</v>
      </c>
      <c r="Q6" s="2" t="s">
        <v>4</v>
      </c>
      <c r="R6" s="119">
        <v>0.55</v>
      </c>
      <c r="S6" s="119">
        <v>0.6</v>
      </c>
      <c r="T6" s="119">
        <v>0.3</v>
      </c>
      <c r="U6" s="119">
        <v>0.35</v>
      </c>
      <c r="V6" s="119">
        <v>0.3</v>
      </c>
      <c r="W6" s="4" t="s">
        <v>10</v>
      </c>
    </row>
    <row r="7" spans="1:23" ht="13.5">
      <c r="A7" s="3" t="s">
        <v>18</v>
      </c>
      <c r="B7" s="40">
        <v>1.5</v>
      </c>
      <c r="D7" s="1" t="s">
        <v>35</v>
      </c>
      <c r="E7" s="3" t="s">
        <v>77</v>
      </c>
      <c r="F7" s="51">
        <f>0.6*(1-B6/250)</f>
        <v>0.528</v>
      </c>
      <c r="G7" s="4"/>
      <c r="H7" s="17" t="s">
        <v>78</v>
      </c>
      <c r="Q7" s="2" t="s">
        <v>1</v>
      </c>
      <c r="R7" s="119">
        <f>R6-0.05</f>
        <v>0.5</v>
      </c>
      <c r="S7" s="119">
        <f>S6-0.05</f>
        <v>0.5499999999999999</v>
      </c>
      <c r="T7" s="119">
        <f>T6-0.05</f>
        <v>0.25</v>
      </c>
      <c r="U7" s="119">
        <f>U6-0.05</f>
        <v>0.3</v>
      </c>
      <c r="V7" s="119">
        <f>V6-0.05</f>
        <v>0.25</v>
      </c>
      <c r="W7" s="4" t="s">
        <v>10</v>
      </c>
    </row>
    <row r="8" spans="1:23" ht="13.5">
      <c r="A8" s="2" t="s">
        <v>19</v>
      </c>
      <c r="B8" s="40">
        <v>500</v>
      </c>
      <c r="C8" s="4" t="s">
        <v>12</v>
      </c>
      <c r="D8" s="4" t="s">
        <v>34</v>
      </c>
      <c r="E8" s="2" t="s">
        <v>155</v>
      </c>
      <c r="F8" s="121">
        <f>0.5*B14*B27*F7*B24</f>
        <v>0.792</v>
      </c>
      <c r="G8" s="4" t="s">
        <v>11</v>
      </c>
      <c r="H8" s="17" t="s">
        <v>79</v>
      </c>
      <c r="Q8" s="2" t="s">
        <v>5</v>
      </c>
      <c r="R8" s="119">
        <v>0.2</v>
      </c>
      <c r="S8" s="119">
        <v>0.35</v>
      </c>
      <c r="T8" s="119">
        <v>0.45</v>
      </c>
      <c r="U8" s="119">
        <v>0.4</v>
      </c>
      <c r="V8" s="119">
        <v>0.6</v>
      </c>
      <c r="W8" s="4" t="s">
        <v>10</v>
      </c>
    </row>
    <row r="9" spans="1:23" ht="13.5">
      <c r="A9" s="3" t="s">
        <v>20</v>
      </c>
      <c r="B9" s="40">
        <v>1.15</v>
      </c>
      <c r="D9" s="1" t="s">
        <v>35</v>
      </c>
      <c r="Q9" s="2" t="s">
        <v>27</v>
      </c>
      <c r="R9" s="119">
        <v>0.2</v>
      </c>
      <c r="S9" s="119">
        <v>0.35</v>
      </c>
      <c r="T9" s="119">
        <v>0.35</v>
      </c>
      <c r="U9" s="119">
        <f>U8</f>
        <v>0.4</v>
      </c>
      <c r="V9" s="119">
        <f>V8</f>
        <v>0.6</v>
      </c>
      <c r="W9" s="4" t="s">
        <v>10</v>
      </c>
    </row>
    <row r="10" spans="1:23" ht="13.5">
      <c r="A10" s="2" t="s">
        <v>3</v>
      </c>
      <c r="B10" s="40">
        <v>0.9</v>
      </c>
      <c r="C10" s="14" t="s">
        <v>11</v>
      </c>
      <c r="D10" s="4" t="s">
        <v>117</v>
      </c>
      <c r="Q10" s="2" t="s">
        <v>17</v>
      </c>
      <c r="R10" s="119">
        <v>30</v>
      </c>
      <c r="S10" s="119">
        <v>35</v>
      </c>
      <c r="T10" s="119">
        <v>35</v>
      </c>
      <c r="U10" s="119">
        <v>35</v>
      </c>
      <c r="V10" s="119">
        <v>35</v>
      </c>
      <c r="W10" s="4" t="s">
        <v>12</v>
      </c>
    </row>
    <row r="11" spans="1:23" ht="13.5">
      <c r="A11" s="2" t="s">
        <v>108</v>
      </c>
      <c r="B11" s="40">
        <v>0.1</v>
      </c>
      <c r="C11" s="14" t="s">
        <v>11</v>
      </c>
      <c r="D11" s="4" t="s">
        <v>109</v>
      </c>
      <c r="G11" s="2"/>
      <c r="H11" s="26"/>
      <c r="K11" s="37"/>
      <c r="L11" s="4"/>
      <c r="Q11" s="2" t="s">
        <v>22</v>
      </c>
      <c r="R11" s="120">
        <f>500/1.15</f>
        <v>434.7826086956522</v>
      </c>
      <c r="S11" s="120">
        <f>T11</f>
        <v>434.7826086956522</v>
      </c>
      <c r="T11" s="120">
        <f>500/1.15</f>
        <v>434.7826086956522</v>
      </c>
      <c r="U11" s="120">
        <f>S11</f>
        <v>434.7826086956522</v>
      </c>
      <c r="V11" s="120">
        <f>T11</f>
        <v>434.7826086956522</v>
      </c>
      <c r="W11" s="4" t="s">
        <v>12</v>
      </c>
    </row>
    <row r="12" spans="1:23" ht="13.5">
      <c r="A12" s="2" t="s">
        <v>116</v>
      </c>
      <c r="B12" s="40">
        <v>0.2</v>
      </c>
      <c r="C12" s="14" t="s">
        <v>10</v>
      </c>
      <c r="D12" s="4" t="s">
        <v>89</v>
      </c>
      <c r="I12" s="6" t="s">
        <v>48</v>
      </c>
      <c r="Q12" s="2" t="s">
        <v>23</v>
      </c>
      <c r="R12" s="105">
        <f>fVRd(R17,R5,R7,R10)</f>
        <v>0.08761655904512915</v>
      </c>
      <c r="S12" s="105">
        <f>fVRd(S17,S5,S7,S10)</f>
        <v>0.10717192793826989</v>
      </c>
      <c r="T12" s="105">
        <f>fVRd(T17,T5,T7,T10)</f>
        <v>0.040493023711212835</v>
      </c>
      <c r="U12" s="105">
        <f>fVRd(U17,U5,U7,U10)</f>
        <v>0.04573576788556155</v>
      </c>
      <c r="V12" s="105">
        <f>fVRd(V17,V5,V7,V10)</f>
        <v>0.0910000603465752</v>
      </c>
      <c r="W12" s="4" t="s">
        <v>11</v>
      </c>
    </row>
    <row r="13" spans="2:23" ht="13.5">
      <c r="B13" s="41" t="s">
        <v>135</v>
      </c>
      <c r="D13" s="4" t="s">
        <v>137</v>
      </c>
      <c r="H13" s="2" t="s">
        <v>15</v>
      </c>
      <c r="I13" s="10">
        <f>MIN(2,1+SQRT(0.2/B27))</f>
        <v>1.632455532033676</v>
      </c>
      <c r="J13" s="17" t="s">
        <v>176</v>
      </c>
      <c r="K13"/>
      <c r="Q13" s="3" t="s">
        <v>2</v>
      </c>
      <c r="R13" s="68">
        <f>(1-R10/250)*R10/1.5</f>
        <v>17.599999999999998</v>
      </c>
      <c r="S13" s="68">
        <f>(1-S10/250)*S10/1.5</f>
        <v>20.066666666666666</v>
      </c>
      <c r="T13" s="68">
        <f>(1-T10/250)*T10/1.5</f>
        <v>20.066666666666666</v>
      </c>
      <c r="U13" s="68">
        <f>(1-U10/250)*U10/1.5</f>
        <v>20.066666666666666</v>
      </c>
      <c r="V13" s="68">
        <f>(1-V10/250)*V10/1.5</f>
        <v>20.066666666666666</v>
      </c>
      <c r="W13" s="16" t="s">
        <v>129</v>
      </c>
    </row>
    <row r="14" spans="1:23" ht="13.5">
      <c r="A14" s="2" t="s">
        <v>0</v>
      </c>
      <c r="B14" s="40">
        <v>0.3</v>
      </c>
      <c r="C14" s="14" t="s">
        <v>10</v>
      </c>
      <c r="D14" s="4" t="s">
        <v>118</v>
      </c>
      <c r="H14" s="3" t="s">
        <v>16</v>
      </c>
      <c r="I14" s="7">
        <f>B50/B14/B27/10000</f>
        <v>0.01063241586198354</v>
      </c>
      <c r="J14" s="17" t="s">
        <v>149</v>
      </c>
      <c r="Q14" s="2" t="s">
        <v>26</v>
      </c>
      <c r="R14" s="13">
        <f>R4/(R5*R13)</f>
        <v>0.17045454545454547</v>
      </c>
      <c r="S14" s="13">
        <f>S4/(S5*S13)</f>
        <v>0.14950166112956811</v>
      </c>
      <c r="T14" s="13">
        <f>T4/(T5*T13)</f>
        <v>0.008305647840531562</v>
      </c>
      <c r="U14" s="13">
        <f>U4/(U5*U13)</f>
        <v>0.016611295681063124</v>
      </c>
      <c r="V14" s="13">
        <f>V4/(V5*V13)</f>
        <v>0.04983388704318937</v>
      </c>
      <c r="W14" s="16" t="s">
        <v>114</v>
      </c>
    </row>
    <row r="15" spans="1:23" ht="13.5">
      <c r="A15" s="2" t="s">
        <v>4</v>
      </c>
      <c r="B15" s="40">
        <v>0.55</v>
      </c>
      <c r="C15" s="15" t="s">
        <v>10</v>
      </c>
      <c r="D15" s="4" t="s">
        <v>119</v>
      </c>
      <c r="H15" s="2" t="s">
        <v>24</v>
      </c>
      <c r="I15" s="7">
        <f>0.12*I13*(100*I14*B6)^(1/3)</f>
        <v>0.6212604054972026</v>
      </c>
      <c r="J15" s="4" t="s">
        <v>12</v>
      </c>
      <c r="Q15" s="2" t="s">
        <v>6</v>
      </c>
      <c r="R15" s="59">
        <f>(R7+(R7^2-2*R8*R14-R14^2)^0.5)/(2*R8+R14)</f>
        <v>1.5616487458932204</v>
      </c>
      <c r="S15" s="59">
        <f>(S7+(S7^2-2*S8*S14-S14^2)^0.5)/(2*S8+S14)</f>
        <v>1.1405803739303997</v>
      </c>
      <c r="T15" s="59">
        <f>(T7+(T7^2-2*T8*T14-T14^2)^0.5)/(2*T8+T14)</f>
        <v>0.5333301840549828</v>
      </c>
      <c r="U15" s="59">
        <f>(U7+(U7^2-2*U8*U14-U14^2)^0.5)/(2*U8+U14)</f>
        <v>0.7059280945537044</v>
      </c>
      <c r="V15" s="59">
        <f>(V7+(V7^2-2*V8*V14-V14^2)^0.5)/(2*V8+V14)</f>
        <v>0.211783496818816</v>
      </c>
      <c r="W15" s="17" t="s">
        <v>127</v>
      </c>
    </row>
    <row r="16" spans="1:23" ht="13.5">
      <c r="A16" s="2" t="s">
        <v>30</v>
      </c>
      <c r="B16" s="40">
        <v>0.05</v>
      </c>
      <c r="C16" s="4" t="s">
        <v>10</v>
      </c>
      <c r="D16" s="20" t="s">
        <v>31</v>
      </c>
      <c r="H16" s="2" t="s">
        <v>25</v>
      </c>
      <c r="I16" s="7">
        <f>0.035*I13^1.5*SQRT(B6)</f>
        <v>0.3998441180355263</v>
      </c>
      <c r="J16" s="4" t="s">
        <v>12</v>
      </c>
      <c r="Q16" s="5" t="s">
        <v>13</v>
      </c>
      <c r="R16" s="13">
        <f>R8*R15</f>
        <v>0.3123297491786441</v>
      </c>
      <c r="S16" s="13">
        <f>S8*S15</f>
        <v>0.39920313087563986</v>
      </c>
      <c r="T16" s="13">
        <f>T8*T15</f>
        <v>0.23999858282474226</v>
      </c>
      <c r="U16" s="13">
        <f>U8*U15</f>
        <v>0.28237123782148177</v>
      </c>
      <c r="V16" s="13">
        <f>V8*V15</f>
        <v>0.1270700980912896</v>
      </c>
      <c r="W16" s="17" t="s">
        <v>128</v>
      </c>
    </row>
    <row r="17" spans="1:23" ht="13.5">
      <c r="A17" s="2" t="s">
        <v>5</v>
      </c>
      <c r="B17" s="40">
        <v>0.2</v>
      </c>
      <c r="C17" s="15" t="s">
        <v>10</v>
      </c>
      <c r="D17" s="20" t="s">
        <v>32</v>
      </c>
      <c r="H17" s="2" t="s">
        <v>23</v>
      </c>
      <c r="I17" s="8">
        <f>MAX(I15:I16)*B14*B27</f>
        <v>0.0931890608245804</v>
      </c>
      <c r="J17" s="4" t="s">
        <v>11</v>
      </c>
      <c r="Q17" s="2" t="s">
        <v>91</v>
      </c>
      <c r="R17" s="82">
        <f>R4*R8/(R16*R11)*10000</f>
        <v>13.255221479501246</v>
      </c>
      <c r="S17" s="82">
        <f>S4*S8/(S16*S11)*10000</f>
        <v>18.148655257558513</v>
      </c>
      <c r="T17" s="82">
        <f>T4*T8/(T16*T11)*10000</f>
        <v>2.1562627325091404</v>
      </c>
      <c r="U17" s="82">
        <f>U4*U8/(U16*U11)*10000</f>
        <v>3.2581222050017518</v>
      </c>
      <c r="V17" s="82">
        <f>V4*V8/(V16*V11)*10000</f>
        <v>32.58044230851025</v>
      </c>
      <c r="W17" s="16" t="s">
        <v>148</v>
      </c>
    </row>
    <row r="18" spans="1:23" ht="13.5">
      <c r="A18" s="2" t="s">
        <v>43</v>
      </c>
      <c r="B18" s="125">
        <f>B17+0.1</f>
        <v>0.30000000000000004</v>
      </c>
      <c r="C18" s="4" t="s">
        <v>10</v>
      </c>
      <c r="D18" s="4" t="s">
        <v>120</v>
      </c>
      <c r="F18" s="2"/>
      <c r="Q18" s="2" t="s">
        <v>177</v>
      </c>
      <c r="R18" s="100">
        <f>0.08*R5*SQRT(R10)/R11*1.15*10000</f>
        <v>3.4769427950427945</v>
      </c>
      <c r="S18" s="100">
        <f>0.08*S5*SQRT(S10)/S11*1.15*10000</f>
        <v>3.755527446311636</v>
      </c>
      <c r="T18" s="100">
        <f>0.08*T5*SQRT(T10)/T11*1.15*10000</f>
        <v>3.755527446311636</v>
      </c>
      <c r="U18" s="100">
        <f>0.08*U5*SQRT(U10)/U11*1.15*10000</f>
        <v>3.755527446311636</v>
      </c>
      <c r="V18" s="100">
        <f>0.08*V5*SQRT(V10)/V11*1.15*10000</f>
        <v>3.755527446311636</v>
      </c>
      <c r="W18" s="17" t="s">
        <v>178</v>
      </c>
    </row>
    <row r="19" spans="2:23" ht="13.5">
      <c r="B19" s="126" t="s">
        <v>60</v>
      </c>
      <c r="D19" s="4" t="s">
        <v>138</v>
      </c>
      <c r="F19" s="2"/>
      <c r="Q19" s="3" t="s">
        <v>16</v>
      </c>
      <c r="R19" s="51">
        <f>R17/10000/(R5*R7)</f>
        <v>0.008836814319667497</v>
      </c>
      <c r="S19" s="51">
        <f>S17/10000/(S5*S7)</f>
        <v>0.010999185004580919</v>
      </c>
      <c r="T19" s="51">
        <f>T17/10000/(T5*T7)</f>
        <v>0.002875016976678854</v>
      </c>
      <c r="U19" s="51">
        <f>U17/10000/(U5*U7)</f>
        <v>0.00362013578333528</v>
      </c>
      <c r="V19" s="51">
        <f>V17/10000/(V5*V7)</f>
        <v>0.04344058974468033</v>
      </c>
      <c r="W19" s="17" t="s">
        <v>149</v>
      </c>
    </row>
    <row r="20" spans="2:23" ht="13.5">
      <c r="B20" s="40" t="s">
        <v>85</v>
      </c>
      <c r="D20" s="4" t="s">
        <v>87</v>
      </c>
      <c r="Q20" s="2" t="s">
        <v>15</v>
      </c>
      <c r="R20" s="67">
        <f>MIN(1+(0.2/R7)^0.5,2)</f>
        <v>1.632455532033676</v>
      </c>
      <c r="S20" s="67">
        <f>MIN(1+(0.2/S7)^0.5,2)</f>
        <v>1.6030226891555273</v>
      </c>
      <c r="T20" s="67">
        <f>MIN(1+(0.2/T7)^0.5,2)</f>
        <v>1.8944271909999157</v>
      </c>
      <c r="U20" s="67">
        <f>MIN(1+(0.2/U7)^0.5,2)</f>
        <v>1.816496580927726</v>
      </c>
      <c r="V20" s="67">
        <f>MIN(1+(0.2/V7)^0.5,2)</f>
        <v>1.8944271909999157</v>
      </c>
      <c r="W20" s="17" t="s">
        <v>150</v>
      </c>
    </row>
    <row r="21" spans="1:23" ht="14.25" thickBot="1">
      <c r="A21" s="2" t="s">
        <v>68</v>
      </c>
      <c r="B21" s="43">
        <v>0.02</v>
      </c>
      <c r="C21" s="14" t="s">
        <v>10</v>
      </c>
      <c r="D21" s="20" t="s">
        <v>157</v>
      </c>
      <c r="Q21" s="2" t="s">
        <v>24</v>
      </c>
      <c r="R21" s="13">
        <f>0.12*R20*(100*R19*R10)^(1/3)</f>
        <v>0.5841103936341943</v>
      </c>
      <c r="S21" s="13">
        <f>0.12*S20*(100*S19*S10)^(1/3)</f>
        <v>0.6495268359895146</v>
      </c>
      <c r="T21" s="13">
        <f>0.12*T20*(100*T19*T10)^(1/3)</f>
        <v>0.4907895615116022</v>
      </c>
      <c r="U21" s="13">
        <f>0.12*U20*(100*U19*U10)^(1/3)</f>
        <v>0.5081751987284617</v>
      </c>
      <c r="V21" s="13">
        <f>0.12*V20*(100*V19*V10)^(1/3)</f>
        <v>1.2133341379543363</v>
      </c>
      <c r="W21" s="17" t="s">
        <v>151</v>
      </c>
    </row>
    <row r="22" spans="17:23" ht="14.25" thickTop="1">
      <c r="Q22" s="2" t="s">
        <v>25</v>
      </c>
      <c r="R22" s="13">
        <f>0.035*R20^1.5*SQRT(R10)</f>
        <v>0.3998441180355263</v>
      </c>
      <c r="S22" s="13">
        <f>0.035*S20^1.5*SQRT(S10)</f>
        <v>0.4202537240664696</v>
      </c>
      <c r="T22" s="13">
        <f>0.035*T20^1.5*SQRT(T10)</f>
        <v>0.5399069828161711</v>
      </c>
      <c r="U22" s="13">
        <f>0.035*U20^1.5*SQRT(U10)</f>
        <v>0.5069369454478664</v>
      </c>
      <c r="V22" s="13">
        <f>0.035*V20^1.5*SQRT(V10)</f>
        <v>0.5399069828161711</v>
      </c>
      <c r="W22" s="17" t="s">
        <v>152</v>
      </c>
    </row>
    <row r="23" spans="1:23" ht="13.5">
      <c r="A23" s="44" t="s">
        <v>74</v>
      </c>
      <c r="B23" s="47">
        <f>facier(B34,B17,B26,B14,B27,B15,B50,B10,I17,B25,B55,0)</f>
        <v>1</v>
      </c>
      <c r="D23" s="4" t="s">
        <v>131</v>
      </c>
      <c r="Q23" s="2" t="s">
        <v>23</v>
      </c>
      <c r="R23" s="86">
        <f>MAX(R21:R22)*R5*R7</f>
        <v>0.08761655904512913</v>
      </c>
      <c r="S23" s="86">
        <f>MAX(S21:S22)*S5*S7</f>
        <v>0.10717192793826989</v>
      </c>
      <c r="T23" s="86">
        <f>MAX(T21:T22)*T5*T7</f>
        <v>0.040493023711212835</v>
      </c>
      <c r="U23" s="86">
        <f>MAX(U21:U22)*U5*U7</f>
        <v>0.04573576788556155</v>
      </c>
      <c r="V23" s="86">
        <f>MAX(V21:V22)*V5*V7</f>
        <v>0.09100006034657522</v>
      </c>
      <c r="W23" s="17" t="s">
        <v>153</v>
      </c>
    </row>
    <row r="24" spans="1:23" ht="13.5">
      <c r="A24" s="2" t="s">
        <v>21</v>
      </c>
      <c r="B24" s="18">
        <f>B6/B7</f>
        <v>20</v>
      </c>
      <c r="C24" s="4" t="s">
        <v>12</v>
      </c>
      <c r="D24" s="17" t="s">
        <v>38</v>
      </c>
      <c r="L24" s="2"/>
      <c r="Q24" s="3" t="s">
        <v>0</v>
      </c>
      <c r="R24" s="83">
        <f>MIN(MAX(0.25,0.5*R9/R7),1)</f>
        <v>0.25</v>
      </c>
      <c r="S24" s="84">
        <f>MIN(MAX(0.25,0.5*S9/S7),1)</f>
        <v>0.3181818181818182</v>
      </c>
      <c r="T24" s="83">
        <f>MIN(MAX(0.25,0.5*T9/T7),1)</f>
        <v>0.7</v>
      </c>
      <c r="U24" s="84">
        <f>MIN(MAX(0.25,0.5*U9/U7),1)</f>
        <v>0.6666666666666667</v>
      </c>
      <c r="V24" s="83">
        <f>MIN(MAX(0.25,0.5*V9/V7),1)</f>
        <v>1</v>
      </c>
      <c r="W24" s="17" t="s">
        <v>154</v>
      </c>
    </row>
    <row r="25" spans="1:23" ht="13.5">
      <c r="A25" s="2" t="s">
        <v>22</v>
      </c>
      <c r="B25" s="19">
        <f>B8/B9</f>
        <v>434.7826086956522</v>
      </c>
      <c r="C25" s="4" t="s">
        <v>12</v>
      </c>
      <c r="D25" s="17" t="s">
        <v>39</v>
      </c>
      <c r="L25" s="2"/>
      <c r="Q25" s="3" t="s">
        <v>92</v>
      </c>
      <c r="R25" s="85">
        <f>R24*R4</f>
        <v>0.225</v>
      </c>
      <c r="S25" s="85">
        <f>S24*S4</f>
        <v>0.2863636363636364</v>
      </c>
      <c r="T25" s="85">
        <f>T24*T4</f>
        <v>0.034999999999999996</v>
      </c>
      <c r="U25" s="85">
        <f>U24*U4</f>
        <v>0.06666666666666668</v>
      </c>
      <c r="V25" s="106">
        <f>V24*V4</f>
        <v>0.3</v>
      </c>
      <c r="W25" s="111"/>
    </row>
    <row r="26" spans="1:24" ht="13.5" customHeight="1">
      <c r="A26" s="2" t="s">
        <v>27</v>
      </c>
      <c r="B26" s="13">
        <f>B17-IF(B13=AE32,0,B12/2)</f>
        <v>0.2</v>
      </c>
      <c r="C26" s="15" t="s">
        <v>10</v>
      </c>
      <c r="D26" s="17" t="s">
        <v>166</v>
      </c>
      <c r="E26" s="4"/>
      <c r="L26" s="2"/>
      <c r="Q26" s="5" t="s">
        <v>93</v>
      </c>
      <c r="R26" s="91"/>
      <c r="S26" s="93"/>
      <c r="T26" s="89">
        <f>T25/T11*10000*0</f>
        <v>0</v>
      </c>
      <c r="U26" s="89">
        <f>U25/U11*10000</f>
        <v>1.5333333333333337</v>
      </c>
      <c r="V26" s="107"/>
      <c r="W26" s="111"/>
      <c r="X26" s="60"/>
    </row>
    <row r="27" spans="1:24" ht="13.5" customHeight="1">
      <c r="A27" s="2" t="s">
        <v>1</v>
      </c>
      <c r="B27" s="75">
        <f>B15-B16</f>
        <v>0.5</v>
      </c>
      <c r="C27" s="15" t="s">
        <v>10</v>
      </c>
      <c r="D27" s="17" t="s">
        <v>37</v>
      </c>
      <c r="L27" s="2"/>
      <c r="Q27" s="5" t="s">
        <v>107</v>
      </c>
      <c r="R27" s="90">
        <f>0.25*R17</f>
        <v>3.3138053698753116</v>
      </c>
      <c r="S27" s="92">
        <f>0.5*S4/S11*10000</f>
        <v>10.35</v>
      </c>
      <c r="T27" s="91"/>
      <c r="U27" s="94"/>
      <c r="V27" s="108"/>
      <c r="W27" s="111"/>
      <c r="X27" s="60"/>
    </row>
    <row r="28" spans="1:23" ht="13.5">
      <c r="A28" s="3" t="s">
        <v>2</v>
      </c>
      <c r="B28" s="48">
        <f>(1-B6/250)*B6/B7</f>
        <v>17.599999999999998</v>
      </c>
      <c r="C28" s="15" t="s">
        <v>12</v>
      </c>
      <c r="D28" s="16" t="s">
        <v>129</v>
      </c>
      <c r="L28" s="2"/>
      <c r="Q28" s="5" t="s">
        <v>106</v>
      </c>
      <c r="R28" s="94"/>
      <c r="S28" s="94"/>
      <c r="T28" s="94"/>
      <c r="U28" s="94"/>
      <c r="V28" s="109">
        <f>V4/(0.9*V7*V11)*10000</f>
        <v>30.666666666666664</v>
      </c>
      <c r="W28" s="111"/>
    </row>
    <row r="29" spans="1:23" ht="14.25" customHeight="1">
      <c r="A29" s="2" t="s">
        <v>121</v>
      </c>
      <c r="B29" s="13">
        <f>0.9*B27</f>
        <v>0.45</v>
      </c>
      <c r="C29" s="4" t="s">
        <v>10</v>
      </c>
      <c r="D29" s="60" t="s">
        <v>112</v>
      </c>
      <c r="L29" s="2"/>
      <c r="Q29" s="95" t="s">
        <v>105</v>
      </c>
      <c r="R29" s="36" t="s">
        <v>6</v>
      </c>
      <c r="S29" s="36" t="s">
        <v>6</v>
      </c>
      <c r="T29" s="57" t="s">
        <v>100</v>
      </c>
      <c r="U29" s="57" t="s">
        <v>100</v>
      </c>
      <c r="V29" s="110" t="s">
        <v>100</v>
      </c>
      <c r="W29" s="111"/>
    </row>
    <row r="30" spans="1:23" ht="13.5">
      <c r="A30" s="2" t="s">
        <v>122</v>
      </c>
      <c r="B30" s="67">
        <f>B11*(B29+B16)/B29</f>
        <v>0.11111111111111112</v>
      </c>
      <c r="C30" s="4" t="s">
        <v>11</v>
      </c>
      <c r="D30" s="17" t="s">
        <v>124</v>
      </c>
      <c r="Q30" s="96"/>
      <c r="R30" s="36" t="s">
        <v>95</v>
      </c>
      <c r="S30" s="36" t="s">
        <v>95</v>
      </c>
      <c r="T30" s="54" t="s">
        <v>102</v>
      </c>
      <c r="U30" s="54" t="s">
        <v>102</v>
      </c>
      <c r="V30" s="110" t="s">
        <v>101</v>
      </c>
      <c r="W30" s="111"/>
    </row>
    <row r="31" spans="1:23" ht="13.5">
      <c r="A31" s="2" t="s">
        <v>123</v>
      </c>
      <c r="B31" s="67">
        <f>B30-B11</f>
        <v>0.011111111111111113</v>
      </c>
      <c r="C31" s="4" t="s">
        <v>11</v>
      </c>
      <c r="D31" s="74" t="s">
        <v>125</v>
      </c>
      <c r="L31" s="2"/>
      <c r="N31" s="4"/>
      <c r="Q31" s="96"/>
      <c r="R31" s="57" t="s">
        <v>96</v>
      </c>
      <c r="S31" s="57" t="s">
        <v>96</v>
      </c>
      <c r="T31" s="58" t="s">
        <v>103</v>
      </c>
      <c r="U31" s="58" t="s">
        <v>104</v>
      </c>
      <c r="V31" s="64"/>
      <c r="W31" s="111"/>
    </row>
    <row r="32" spans="1:31" ht="13.5">
      <c r="A32" s="3" t="s">
        <v>113</v>
      </c>
      <c r="B32" s="9">
        <f>B28-B31/(0.2*B27*B14)</f>
        <v>17.229629629629628</v>
      </c>
      <c r="C32" s="15" t="s">
        <v>12</v>
      </c>
      <c r="D32" s="17" t="s">
        <v>126</v>
      </c>
      <c r="Q32" s="96"/>
      <c r="R32" s="54" t="s">
        <v>97</v>
      </c>
      <c r="S32" s="54" t="s">
        <v>99</v>
      </c>
      <c r="T32" s="64"/>
      <c r="U32" s="64"/>
      <c r="V32" s="64"/>
      <c r="W32" s="111"/>
      <c r="AE32" s="56" t="s">
        <v>135</v>
      </c>
    </row>
    <row r="33" spans="1:31" ht="13.5">
      <c r="A33" s="2" t="s">
        <v>26</v>
      </c>
      <c r="B33" s="75">
        <f>B10/(B14*B32)</f>
        <v>0.17411865864144457</v>
      </c>
      <c r="C33" s="15" t="s">
        <v>10</v>
      </c>
      <c r="D33" s="16" t="s">
        <v>167</v>
      </c>
      <c r="Q33" s="97"/>
      <c r="R33" s="65"/>
      <c r="S33" s="54" t="s">
        <v>98</v>
      </c>
      <c r="T33" s="66"/>
      <c r="U33" s="66"/>
      <c r="V33" s="66"/>
      <c r="W33" s="111"/>
      <c r="AE33" s="57" t="s">
        <v>136</v>
      </c>
    </row>
    <row r="34" spans="1:4" ht="13.5">
      <c r="A34" s="2" t="s">
        <v>6</v>
      </c>
      <c r="B34" s="76">
        <f>(B27+SQRT(B27^2-2*B17*B33-B33^2))/(2*B17+B33)</f>
        <v>1.5455756390581914</v>
      </c>
      <c r="C34" s="69"/>
      <c r="D34" s="17" t="s">
        <v>127</v>
      </c>
    </row>
    <row r="35" spans="1:4" ht="13.5">
      <c r="A35" s="2" t="s">
        <v>13</v>
      </c>
      <c r="B35" s="13">
        <f>B17*B34</f>
        <v>0.3091151278116383</v>
      </c>
      <c r="C35" s="69" t="s">
        <v>10</v>
      </c>
      <c r="D35" s="17" t="s">
        <v>128</v>
      </c>
    </row>
    <row r="36" spans="1:31" ht="13.5">
      <c r="A36" s="2" t="s">
        <v>115</v>
      </c>
      <c r="B36" s="13">
        <f>B33/B34</f>
        <v>0.11265618727501757</v>
      </c>
      <c r="C36" s="69" t="s">
        <v>10</v>
      </c>
      <c r="D36" s="17" t="s">
        <v>130</v>
      </c>
      <c r="AD36" s="2" t="s">
        <v>134</v>
      </c>
      <c r="AE36" s="54">
        <f>0.85*B28</f>
        <v>14.959999999999997</v>
      </c>
    </row>
    <row r="37" spans="1:4" ht="12">
      <c r="A37" s="3" t="s">
        <v>7</v>
      </c>
      <c r="B37" s="75">
        <f>ATAN(B34)</f>
        <v>0.9965272320270836</v>
      </c>
      <c r="C37" s="14" t="s">
        <v>8</v>
      </c>
      <c r="D37" s="14" t="s">
        <v>36</v>
      </c>
    </row>
    <row r="38" spans="1:31" ht="15.75" customHeight="1">
      <c r="A38" s="3" t="s">
        <v>7</v>
      </c>
      <c r="B38" s="12">
        <f>B37*180/PI()</f>
        <v>57.096804565006</v>
      </c>
      <c r="C38" s="14" t="s">
        <v>9</v>
      </c>
      <c r="D38" s="4" t="s">
        <v>50</v>
      </c>
      <c r="AE38" s="56" t="s">
        <v>85</v>
      </c>
    </row>
    <row r="39" spans="1:31" ht="13.5">
      <c r="A39" s="2" t="s">
        <v>132</v>
      </c>
      <c r="B39" s="13">
        <f>B12+2*B16</f>
        <v>0.30000000000000004</v>
      </c>
      <c r="C39" s="4" t="s">
        <v>10</v>
      </c>
      <c r="D39" s="17" t="s">
        <v>139</v>
      </c>
      <c r="E39" s="1" t="s">
        <v>140</v>
      </c>
      <c r="AE39" s="36" t="s">
        <v>86</v>
      </c>
    </row>
    <row r="40" spans="1:31" ht="15.75" customHeight="1">
      <c r="A40" s="3" t="s">
        <v>174</v>
      </c>
      <c r="B40" s="122">
        <f>B10/B14/B39</f>
        <v>9.999999999999998</v>
      </c>
      <c r="C40" s="4" t="s">
        <v>12</v>
      </c>
      <c r="D40" s="88" t="str">
        <f>IF(B40&gt;0.85*B28,"KO","OK")</f>
        <v>OK</v>
      </c>
      <c r="E40" s="17" t="s">
        <v>133</v>
      </c>
      <c r="H40" s="87"/>
      <c r="AE40" s="57"/>
    </row>
    <row r="41" ht="15.75" customHeight="1"/>
    <row r="42" spans="1:3" ht="15.75" customHeight="1">
      <c r="A42" s="21" t="s">
        <v>180</v>
      </c>
      <c r="C42" s="127" t="s">
        <v>181</v>
      </c>
    </row>
    <row r="43" spans="1:6" ht="15.75" customHeight="1">
      <c r="A43" s="2" t="s">
        <v>6</v>
      </c>
      <c r="B43" s="10">
        <f>B34</f>
        <v>1.5455756390581914</v>
      </c>
      <c r="C43" s="1" t="str">
        <f>IF(B43&gt;=1,IF(B43&lt;=2.5,"oui","non"),"non")</f>
        <v>oui</v>
      </c>
      <c r="D43" s="71" t="s">
        <v>160</v>
      </c>
      <c r="E43" s="72"/>
      <c r="F43" s="78"/>
    </row>
    <row r="44" spans="1:4" ht="13.5">
      <c r="A44" s="103" t="s">
        <v>173</v>
      </c>
      <c r="B44" s="11">
        <f>MIN(1,MAX(0.25,B26/2/B27))</f>
        <v>0.25</v>
      </c>
      <c r="C44" s="1" t="str">
        <f>IF(B44&lt;=0.5,"oui","non")</f>
        <v>oui</v>
      </c>
      <c r="D44" s="73" t="s">
        <v>179</v>
      </c>
    </row>
    <row r="45" spans="1:24" ht="13.5">
      <c r="A45" s="2" t="s">
        <v>75</v>
      </c>
      <c r="B45" s="9">
        <f>B17/B15</f>
        <v>0.36363636363636365</v>
      </c>
      <c r="C45" s="1" t="str">
        <f>IF(B45&lt;=1,"oui","non")</f>
        <v>oui</v>
      </c>
      <c r="D45" s="71" t="s">
        <v>158</v>
      </c>
      <c r="E45" s="78"/>
      <c r="F45" s="4"/>
      <c r="V45" s="34" t="s">
        <v>58</v>
      </c>
      <c r="W45" s="112">
        <v>0.1</v>
      </c>
      <c r="X45" s="113">
        <v>0.5</v>
      </c>
    </row>
    <row r="46" spans="1:24" ht="13.5">
      <c r="A46" s="2" t="s">
        <v>83</v>
      </c>
      <c r="B46" s="13">
        <f>B10/I17</f>
        <v>9.6577859250472</v>
      </c>
      <c r="C46" s="1" t="str">
        <f>IF(B46&lt;=1,"oui","non")</f>
        <v>non</v>
      </c>
      <c r="D46" s="71" t="s">
        <v>159</v>
      </c>
      <c r="E46" s="78"/>
      <c r="F46" s="4"/>
      <c r="V46" s="35" t="s">
        <v>59</v>
      </c>
      <c r="W46" s="114">
        <v>0.2</v>
      </c>
      <c r="X46" s="115">
        <v>0.6</v>
      </c>
    </row>
    <row r="47" spans="1:24" ht="13.5">
      <c r="A47" s="3" t="s">
        <v>84</v>
      </c>
      <c r="B47" s="49">
        <f>B44*B10/I17</f>
        <v>2.4144464812618</v>
      </c>
      <c r="C47" s="1" t="str">
        <f>IF(B47&lt;=1,"oui","non")</f>
        <v>non</v>
      </c>
      <c r="D47" s="73" t="s">
        <v>159</v>
      </c>
      <c r="E47" s="78"/>
      <c r="F47" s="4"/>
      <c r="V47" s="35" t="s">
        <v>60</v>
      </c>
      <c r="W47" s="114">
        <v>0.4</v>
      </c>
      <c r="X47" s="115">
        <v>0.7</v>
      </c>
    </row>
    <row r="48" spans="22:24" ht="13.5">
      <c r="V48" s="35" t="s">
        <v>61</v>
      </c>
      <c r="W48" s="114">
        <v>0.5</v>
      </c>
      <c r="X48" s="115">
        <v>0.9</v>
      </c>
    </row>
    <row r="49" spans="1:24" ht="15.75" customHeight="1">
      <c r="A49" s="21" t="s">
        <v>175</v>
      </c>
      <c r="V49" s="50" t="s">
        <v>73</v>
      </c>
      <c r="W49" s="116">
        <v>0.5</v>
      </c>
      <c r="X49" s="117">
        <v>1</v>
      </c>
    </row>
    <row r="50" spans="1:6" ht="15.75" customHeight="1">
      <c r="A50" s="2" t="s">
        <v>70</v>
      </c>
      <c r="B50" s="31">
        <f>B10*B17/B35/B25*10000+B11*(B29+B16)/(B29*B25)*10000</f>
        <v>15.94862379297531</v>
      </c>
      <c r="C50" s="14" t="s">
        <v>14</v>
      </c>
      <c r="D50" s="16" t="s">
        <v>168</v>
      </c>
      <c r="F50" s="4"/>
    </row>
    <row r="51" spans="1:4" ht="13.5">
      <c r="A51" s="38" t="s">
        <v>41</v>
      </c>
      <c r="B51" s="98">
        <f>facier(B34,B17,B26,B14,B27,B15,B50,B10,I17,B25,B55,1)</f>
        <v>3.9871559482438275</v>
      </c>
      <c r="C51" s="14" t="s">
        <v>14</v>
      </c>
      <c r="D51" s="17" t="s">
        <v>169</v>
      </c>
    </row>
    <row r="52" spans="1:4" ht="13.5">
      <c r="A52" s="38" t="s">
        <v>42</v>
      </c>
      <c r="B52" s="46">
        <f>facier(B34,B17,B26,B14,B27,B15,B50,B10,I17,B25,B55,2)</f>
        <v>0</v>
      </c>
      <c r="C52" s="14" t="s">
        <v>14</v>
      </c>
      <c r="D52" s="17" t="s">
        <v>170</v>
      </c>
    </row>
    <row r="53" spans="1:4" ht="13.5">
      <c r="A53" s="38" t="s">
        <v>80</v>
      </c>
      <c r="B53" s="46">
        <f>facier(B34,B17,B26,B14,B27,B15,B50,B10,I17,B25,B55,3)</f>
        <v>0</v>
      </c>
      <c r="C53" s="14" t="s">
        <v>14</v>
      </c>
      <c r="D53" s="53" t="s">
        <v>172</v>
      </c>
    </row>
    <row r="54" spans="1:10" ht="13.5">
      <c r="A54" s="38" t="s">
        <v>28</v>
      </c>
      <c r="B54" s="99">
        <f>facier(B34,B17,B26,B14,B27,B15,B50,B10,I17,B25,B55,4)</f>
        <v>0</v>
      </c>
      <c r="C54" s="14" t="s">
        <v>29</v>
      </c>
      <c r="D54" s="16" t="s">
        <v>111</v>
      </c>
      <c r="J54" s="45"/>
    </row>
    <row r="55" spans="1:10" ht="13.5">
      <c r="A55" s="38" t="s">
        <v>161</v>
      </c>
      <c r="B55" s="100">
        <f>0.08*B14*SQRT(B6)/B8*10000</f>
        <v>2.6290682760247974</v>
      </c>
      <c r="C55" s="14" t="s">
        <v>29</v>
      </c>
      <c r="D55" s="17" t="s">
        <v>162</v>
      </c>
      <c r="I55" s="3"/>
      <c r="J55" s="45"/>
    </row>
    <row r="56" ht="12">
      <c r="J56" s="45"/>
    </row>
    <row r="57" spans="1:7" ht="12.75" thickBot="1">
      <c r="A57" s="21" t="s">
        <v>163</v>
      </c>
      <c r="D57" s="4"/>
      <c r="E57" s="4"/>
      <c r="G57" s="4"/>
    </row>
    <row r="58" spans="1:5" ht="14.25" thickTop="1">
      <c r="A58" s="2" t="s">
        <v>91</v>
      </c>
      <c r="B58" s="42">
        <v>16.02</v>
      </c>
      <c r="C58" s="14" t="s">
        <v>14</v>
      </c>
      <c r="D58" s="37" t="str">
        <f>IF(B58&gt;=B50,"OK","KO")</f>
        <v>OK</v>
      </c>
      <c r="E58" s="4" t="str">
        <f>IF(B58&lt;B50,"INSUFFISANT","")&amp;" armatures mises en place"&amp;" (tirant)"</f>
        <v> armatures mises en place (tirant)</v>
      </c>
    </row>
    <row r="59" spans="1:24" ht="13.5">
      <c r="A59" s="2" t="s">
        <v>41</v>
      </c>
      <c r="B59" s="52">
        <v>4.02</v>
      </c>
      <c r="C59" s="14" t="s">
        <v>14</v>
      </c>
      <c r="D59" s="37" t="str">
        <f>IF(B59&gt;=B51,"OK","KO")</f>
        <v>OK</v>
      </c>
      <c r="E59" s="4" t="str">
        <f>IF(B52="","",IF(B59&lt;B51,"INSUFFISANT",""))&amp;" armatures mises en place"&amp;" (horizontales)"</f>
        <v> armatures mises en place (horizontales)</v>
      </c>
      <c r="X59" s="1" t="s">
        <v>49</v>
      </c>
    </row>
    <row r="60" spans="1:29" ht="13.5">
      <c r="A60" s="2" t="s">
        <v>42</v>
      </c>
      <c r="B60" s="52"/>
      <c r="C60" s="14" t="s">
        <v>14</v>
      </c>
      <c r="D60" s="102" t="str">
        <f>IF(B60&gt;=B52+B53,"OK","KO")</f>
        <v>OK</v>
      </c>
      <c r="E60" s="4" t="str">
        <f>IF(B54="","",IF(B60&lt;B52,"INSUFFISANT",""))&amp;" armatures mises en place (verticales)"</f>
        <v> armatures mises en place (verticales)</v>
      </c>
      <c r="X60" s="22"/>
      <c r="Y60" s="23" t="s">
        <v>44</v>
      </c>
      <c r="Z60" s="23" t="s">
        <v>45</v>
      </c>
      <c r="AA60" s="23" t="s">
        <v>46</v>
      </c>
      <c r="AB60" s="23" t="s">
        <v>88</v>
      </c>
      <c r="AC60" s="24" t="s">
        <v>47</v>
      </c>
    </row>
    <row r="61" spans="1:29" ht="14.25" thickBot="1">
      <c r="A61" s="2" t="s">
        <v>106</v>
      </c>
      <c r="B61" s="101"/>
      <c r="C61" s="14" t="s">
        <v>29</v>
      </c>
      <c r="D61" s="37" t="str">
        <f>IF(B61&gt;=B53,"OK","KO")</f>
        <v>OK</v>
      </c>
      <c r="E61" s="4" t="s">
        <v>164</v>
      </c>
      <c r="S61" s="1" t="s">
        <v>49</v>
      </c>
      <c r="X61" s="25">
        <v>0</v>
      </c>
      <c r="Y61" s="26">
        <f>0.5*B15</f>
        <v>0.275</v>
      </c>
      <c r="Z61" s="26"/>
      <c r="AA61" s="26"/>
      <c r="AB61" s="26"/>
      <c r="AC61" s="27"/>
    </row>
    <row r="62" spans="24:29" ht="12.75" thickTop="1">
      <c r="X62" s="25">
        <v>0</v>
      </c>
      <c r="Y62" s="26">
        <v>0</v>
      </c>
      <c r="Z62" s="26"/>
      <c r="AA62" s="26"/>
      <c r="AB62" s="26"/>
      <c r="AC62" s="27"/>
    </row>
    <row r="63" spans="1:29" ht="12">
      <c r="A63" s="2"/>
      <c r="B63" s="6" t="s">
        <v>81</v>
      </c>
      <c r="X63" s="25">
        <f>B18</f>
        <v>0.30000000000000004</v>
      </c>
      <c r="Y63" s="26">
        <v>0</v>
      </c>
      <c r="Z63" s="26"/>
      <c r="AA63" s="26"/>
      <c r="AB63" s="26"/>
      <c r="AC63" s="27"/>
    </row>
    <row r="64" spans="1:29" ht="12">
      <c r="A64" s="2"/>
      <c r="B64" s="6" t="s">
        <v>82</v>
      </c>
      <c r="C64" s="4"/>
      <c r="X64" s="25">
        <f>X63</f>
        <v>0.30000000000000004</v>
      </c>
      <c r="Y64" s="26">
        <f>-B15</f>
        <v>-0.55</v>
      </c>
      <c r="Z64" s="26"/>
      <c r="AA64" s="26"/>
      <c r="AB64" s="26"/>
      <c r="AC64" s="27"/>
    </row>
    <row r="65" spans="1:29" ht="12">
      <c r="A65" s="2" t="s">
        <v>62</v>
      </c>
      <c r="B65" s="51">
        <f>IF(B20=AE39,0,VLOOKUP(B19,V45:X48,2))</f>
        <v>0.4</v>
      </c>
      <c r="D65" s="14" t="s">
        <v>71</v>
      </c>
      <c r="X65" s="25">
        <v>0</v>
      </c>
      <c r="Y65" s="26">
        <f>Y64</f>
        <v>-0.55</v>
      </c>
      <c r="Z65" s="26"/>
      <c r="AA65" s="26"/>
      <c r="AB65" s="26"/>
      <c r="AC65" s="27"/>
    </row>
    <row r="66" spans="1:29" ht="12">
      <c r="A66" s="3" t="s">
        <v>10</v>
      </c>
      <c r="B66" s="7">
        <f>VLOOKUP(B19,V45:X48,3)</f>
        <v>0.7</v>
      </c>
      <c r="D66" s="14" t="s">
        <v>90</v>
      </c>
      <c r="X66" s="25">
        <v>0</v>
      </c>
      <c r="Y66" s="26">
        <f>Y65-Y61</f>
        <v>-0.8250000000000001</v>
      </c>
      <c r="Z66" s="26"/>
      <c r="AA66" s="26"/>
      <c r="AB66" s="26"/>
      <c r="AC66" s="27"/>
    </row>
    <row r="67" spans="1:29" ht="13.5">
      <c r="A67" s="2" t="s">
        <v>63</v>
      </c>
      <c r="B67" s="9">
        <f>0.3*B6^(2/3)</f>
        <v>2.896468153816889</v>
      </c>
      <c r="C67" s="4" t="s">
        <v>12</v>
      </c>
      <c r="D67" s="16" t="s">
        <v>64</v>
      </c>
      <c r="X67" s="25"/>
      <c r="Y67" s="26"/>
      <c r="Z67" s="26"/>
      <c r="AA67" s="26"/>
      <c r="AB67" s="26"/>
      <c r="AC67" s="27"/>
    </row>
    <row r="68" spans="1:29" ht="15.75" customHeight="1">
      <c r="A68" s="2" t="s">
        <v>65</v>
      </c>
      <c r="B68" s="9">
        <f>0.7*B67/B7</f>
        <v>1.3516851384478814</v>
      </c>
      <c r="C68" s="4" t="s">
        <v>12</v>
      </c>
      <c r="D68" s="16" t="s">
        <v>66</v>
      </c>
      <c r="X68" s="25">
        <f>B17-B12/2</f>
        <v>0.1</v>
      </c>
      <c r="Y68" s="26">
        <v>0</v>
      </c>
      <c r="Z68" s="26"/>
      <c r="AA68" s="26"/>
      <c r="AB68" s="26"/>
      <c r="AC68" s="27"/>
    </row>
    <row r="69" spans="1:29" ht="15.75" customHeight="1">
      <c r="A69" s="2" t="s">
        <v>142</v>
      </c>
      <c r="B69" s="13">
        <f>B33*(B27-B36)/(B26-B16)</f>
        <v>0.44962523403157895</v>
      </c>
      <c r="C69" s="4" t="s">
        <v>10</v>
      </c>
      <c r="D69" s="17" t="s">
        <v>141</v>
      </c>
      <c r="X69" s="25">
        <f>X68</f>
        <v>0.1</v>
      </c>
      <c r="Y69" s="26">
        <f>B15/20</f>
        <v>0.027500000000000004</v>
      </c>
      <c r="Z69" s="26"/>
      <c r="AA69" s="26"/>
      <c r="AB69" s="26"/>
      <c r="AC69" s="27"/>
    </row>
    <row r="70" spans="1:29" ht="13.5">
      <c r="A70" s="77" t="s">
        <v>145</v>
      </c>
      <c r="B70" s="61">
        <f>B59/(B14*B27)/10000</f>
        <v>0.0026799999999999997</v>
      </c>
      <c r="C70" s="78"/>
      <c r="D70" s="79" t="s">
        <v>144</v>
      </c>
      <c r="X70" s="25">
        <f>B26+B12</f>
        <v>0.4</v>
      </c>
      <c r="Y70" s="26">
        <f>Y69</f>
        <v>0.027500000000000004</v>
      </c>
      <c r="Z70" s="26"/>
      <c r="AA70" s="26"/>
      <c r="AB70" s="26"/>
      <c r="AC70" s="27"/>
    </row>
    <row r="71" spans="1:29" ht="13.5">
      <c r="A71" s="2" t="s">
        <v>67</v>
      </c>
      <c r="B71" s="104">
        <f>B65*B68*B14*B69+B66*(B10/B34-B11+B70*B25)</f>
        <v>1.2261975037877364</v>
      </c>
      <c r="C71" s="81" t="s">
        <v>11</v>
      </c>
      <c r="D71" s="16" t="s">
        <v>147</v>
      </c>
      <c r="X71" s="25">
        <f>X70</f>
        <v>0.4</v>
      </c>
      <c r="Y71" s="26">
        <v>0</v>
      </c>
      <c r="Z71" s="26"/>
      <c r="AA71" s="26"/>
      <c r="AB71" s="26"/>
      <c r="AC71" s="27"/>
    </row>
    <row r="72" spans="1:29" ht="13.5">
      <c r="A72" s="3" t="s">
        <v>69</v>
      </c>
      <c r="B72" s="13">
        <f>B14*B21*B32</f>
        <v>0.10337777777777776</v>
      </c>
      <c r="C72" s="4" t="s">
        <v>11</v>
      </c>
      <c r="D72" s="55" t="s">
        <v>165</v>
      </c>
      <c r="E72" s="4" t="s">
        <v>143</v>
      </c>
      <c r="X72" s="25"/>
      <c r="Y72" s="26"/>
      <c r="Z72" s="26"/>
      <c r="AA72" s="26"/>
      <c r="AB72" s="26"/>
      <c r="AC72" s="27"/>
    </row>
    <row r="73" spans="1:29" ht="13.5">
      <c r="A73" s="2" t="s">
        <v>72</v>
      </c>
      <c r="B73" s="13">
        <f>B10-B72</f>
        <v>0.7966222222222222</v>
      </c>
      <c r="C73" s="4" t="s">
        <v>11</v>
      </c>
      <c r="D73" s="16" t="s">
        <v>146</v>
      </c>
      <c r="X73" s="25">
        <f>B17</f>
        <v>0.2</v>
      </c>
      <c r="Y73" s="26">
        <v>0</v>
      </c>
      <c r="Z73" s="26"/>
      <c r="AA73" s="26"/>
      <c r="AB73" s="26"/>
      <c r="AC73" s="27"/>
    </row>
    <row r="74" spans="1:29" ht="13.5">
      <c r="A74" s="80" t="str">
        <f>IF(B74&lt;1,"OK","KO")</f>
        <v>OK</v>
      </c>
      <c r="B74" s="123">
        <f>B73/B71</f>
        <v>0.6496687684989149</v>
      </c>
      <c r="C74" s="4" t="s">
        <v>76</v>
      </c>
      <c r="X74" s="25">
        <f>X73</f>
        <v>0.2</v>
      </c>
      <c r="Y74" s="26">
        <f>Y61/3</f>
        <v>0.09166666666666667</v>
      </c>
      <c r="Z74" s="26"/>
      <c r="AA74" s="26"/>
      <c r="AB74" s="26"/>
      <c r="AC74" s="27"/>
    </row>
    <row r="75" spans="24:29" ht="12">
      <c r="X75" s="25"/>
      <c r="Y75" s="26"/>
      <c r="Z75" s="26"/>
      <c r="AA75" s="26"/>
      <c r="AB75" s="26"/>
      <c r="AC75" s="27"/>
    </row>
    <row r="76" spans="24:29" ht="12">
      <c r="X76" s="25">
        <v>0</v>
      </c>
      <c r="Y76" s="26"/>
      <c r="Z76" s="26">
        <f>-B15</f>
        <v>-0.55</v>
      </c>
      <c r="AA76" s="26"/>
      <c r="AB76" s="26"/>
      <c r="AC76" s="27"/>
    </row>
    <row r="77" spans="24:29" ht="12">
      <c r="X77" s="25">
        <f>-B33</f>
        <v>-0.17411865864144457</v>
      </c>
      <c r="Y77" s="26"/>
      <c r="Z77" s="26">
        <f>Z76</f>
        <v>-0.55</v>
      </c>
      <c r="AA77" s="26"/>
      <c r="AB77" s="26"/>
      <c r="AC77" s="27"/>
    </row>
    <row r="78" spans="24:29" ht="12">
      <c r="X78" s="25">
        <f>X77</f>
        <v>-0.17411865864144457</v>
      </c>
      <c r="Y78" s="26"/>
      <c r="Z78" s="70">
        <f>Z76+B36</f>
        <v>-0.43734381272498246</v>
      </c>
      <c r="AA78" s="26"/>
      <c r="AB78" s="26"/>
      <c r="AC78" s="27"/>
    </row>
    <row r="79" spans="24:29" ht="12">
      <c r="X79" s="25">
        <v>0</v>
      </c>
      <c r="Y79" s="26"/>
      <c r="Z79" s="26">
        <f>Z76</f>
        <v>-0.55</v>
      </c>
      <c r="AA79" s="26"/>
      <c r="AB79" s="26"/>
      <c r="AC79" s="27"/>
    </row>
    <row r="80" spans="24:29" ht="12">
      <c r="X80" s="25"/>
      <c r="Y80" s="26"/>
      <c r="Z80" s="26"/>
      <c r="AA80" s="26"/>
      <c r="AB80" s="26"/>
      <c r="AC80" s="27"/>
    </row>
    <row r="81" spans="24:29" ht="12">
      <c r="X81" s="25">
        <f>-B33/2</f>
        <v>-0.08705932932072229</v>
      </c>
      <c r="Y81" s="26"/>
      <c r="Z81" s="26"/>
      <c r="AA81" s="26">
        <f>-B15+B36/2</f>
        <v>-0.49367190636249125</v>
      </c>
      <c r="AB81" s="26"/>
      <c r="AC81" s="27"/>
    </row>
    <row r="82" spans="24:29" ht="12">
      <c r="X82" s="25">
        <f>B17</f>
        <v>0.2</v>
      </c>
      <c r="Y82" s="26"/>
      <c r="Z82" s="26"/>
      <c r="AA82" s="26">
        <f>-B16</f>
        <v>-0.05</v>
      </c>
      <c r="AB82" s="26"/>
      <c r="AC82" s="27"/>
    </row>
    <row r="83" spans="24:29" ht="12">
      <c r="X83" s="25"/>
      <c r="Y83" s="26"/>
      <c r="Z83" s="26"/>
      <c r="AA83" s="26"/>
      <c r="AB83" s="26"/>
      <c r="AC83" s="27"/>
    </row>
    <row r="84" spans="24:29" ht="12">
      <c r="X84" s="25">
        <f>-B17</f>
        <v>-0.2</v>
      </c>
      <c r="Y84" s="26"/>
      <c r="Z84" s="26"/>
      <c r="AA84" s="26"/>
      <c r="AB84" s="26">
        <f>-B16</f>
        <v>-0.05</v>
      </c>
      <c r="AC84" s="27"/>
    </row>
    <row r="85" spans="24:29" ht="12">
      <c r="X85" s="25">
        <f>B18-B16</f>
        <v>0.25000000000000006</v>
      </c>
      <c r="Y85" s="26"/>
      <c r="Z85" s="26"/>
      <c r="AA85" s="26"/>
      <c r="AB85" s="26">
        <f>-B16</f>
        <v>-0.05</v>
      </c>
      <c r="AC85" s="27"/>
    </row>
    <row r="86" spans="24:29" ht="12">
      <c r="X86" s="25"/>
      <c r="Y86" s="26"/>
      <c r="Z86" s="26"/>
      <c r="AA86" s="26"/>
      <c r="AB86" s="26"/>
      <c r="AC86" s="27"/>
    </row>
    <row r="87" spans="24:29" ht="12">
      <c r="X87" s="25">
        <f>IF(B59=0,0,X84)</f>
        <v>-0.2</v>
      </c>
      <c r="Y87" s="26"/>
      <c r="Z87" s="26"/>
      <c r="AA87" s="26"/>
      <c r="AB87" s="26"/>
      <c r="AC87" s="27">
        <f>IF(B59=0,0,AC84+1/3*(Z78-AC84))</f>
        <v>-0.1457812709083275</v>
      </c>
    </row>
    <row r="88" spans="24:29" ht="12">
      <c r="X88" s="25">
        <f>IF(B59=0,0,X85)</f>
        <v>0.25000000000000006</v>
      </c>
      <c r="Y88" s="26"/>
      <c r="Z88" s="26"/>
      <c r="AA88" s="26"/>
      <c r="AB88" s="26"/>
      <c r="AC88" s="27">
        <f>AC87</f>
        <v>-0.1457812709083275</v>
      </c>
    </row>
    <row r="89" spans="24:29" ht="12">
      <c r="X89" s="25"/>
      <c r="Y89" s="26"/>
      <c r="Z89" s="26"/>
      <c r="AA89" s="26"/>
      <c r="AB89" s="26"/>
      <c r="AC89" s="27"/>
    </row>
    <row r="90" spans="24:29" ht="12">
      <c r="X90" s="25">
        <f>IF(B59=0,0,X87)</f>
        <v>-0.2</v>
      </c>
      <c r="Y90" s="26"/>
      <c r="Z90" s="26"/>
      <c r="AA90" s="26"/>
      <c r="AB90" s="26"/>
      <c r="AC90" s="27">
        <f>IF(B59=0,0,AC84+2/3*(Z78-AC84))</f>
        <v>-0.291562541816655</v>
      </c>
    </row>
    <row r="91" spans="24:29" ht="12">
      <c r="X91" s="25">
        <f>IF(B59=0,0,X88)</f>
        <v>0.25000000000000006</v>
      </c>
      <c r="Y91" s="26"/>
      <c r="Z91" s="26"/>
      <c r="AA91" s="26"/>
      <c r="AB91" s="26"/>
      <c r="AC91" s="27">
        <f>AC90</f>
        <v>-0.291562541816655</v>
      </c>
    </row>
    <row r="92" spans="24:29" ht="12">
      <c r="X92" s="25"/>
      <c r="Y92" s="26"/>
      <c r="Z92" s="26"/>
      <c r="AA92" s="26"/>
      <c r="AB92" s="26"/>
      <c r="AC92" s="27"/>
    </row>
    <row r="93" spans="24:29" ht="12">
      <c r="X93" s="25">
        <f>IF(B60=0,0,1/4*B17)</f>
        <v>0</v>
      </c>
      <c r="Y93" s="26"/>
      <c r="Z93" s="26"/>
      <c r="AA93" s="26"/>
      <c r="AB93" s="26"/>
      <c r="AC93" s="27">
        <f>IF(B60=0,0,AC84)</f>
        <v>0</v>
      </c>
    </row>
    <row r="94" spans="24:29" ht="12">
      <c r="X94" s="25">
        <f>IF(B60=0,0,X93)</f>
        <v>0</v>
      </c>
      <c r="Y94" s="26"/>
      <c r="Z94" s="26"/>
      <c r="AA94" s="26"/>
      <c r="AB94" s="26"/>
      <c r="AC94" s="27">
        <f>IF(B60=0,0,-B15+B16)</f>
        <v>0</v>
      </c>
    </row>
    <row r="95" spans="24:29" ht="12">
      <c r="X95" s="25"/>
      <c r="Y95" s="26"/>
      <c r="Z95" s="26"/>
      <c r="AA95" s="26"/>
      <c r="AB95" s="26"/>
      <c r="AC95" s="27"/>
    </row>
    <row r="96" spans="24:29" ht="12">
      <c r="X96" s="25">
        <f>IF(B60=0,0,3/4*B17)</f>
        <v>0</v>
      </c>
      <c r="Y96" s="26"/>
      <c r="Z96" s="26"/>
      <c r="AA96" s="26"/>
      <c r="AB96" s="26"/>
      <c r="AC96" s="27">
        <f>IF(B60=0,0,AC93)</f>
        <v>0</v>
      </c>
    </row>
    <row r="97" spans="24:29" ht="12">
      <c r="X97" s="28">
        <f>X96</f>
        <v>0</v>
      </c>
      <c r="Y97" s="29"/>
      <c r="Z97" s="29"/>
      <c r="AA97" s="29"/>
      <c r="AB97" s="29"/>
      <c r="AC97" s="30">
        <f>IF(B60=0,0,AC94)</f>
        <v>0</v>
      </c>
    </row>
    <row r="98" ht="12"/>
    <row r="99" ht="12"/>
    <row r="100" ht="12"/>
    <row r="101" ht="12"/>
    <row r="102" ht="12"/>
    <row r="103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</sheetData>
  <sheetProtection/>
  <mergeCells count="1">
    <mergeCell ref="B1:I1"/>
  </mergeCells>
  <conditionalFormatting sqref="D40 A74 K11 D58:D61">
    <cfRule type="cellIs" priority="1" dxfId="0" operator="equal" stopIfTrue="1">
      <formula>"KO"</formula>
    </cfRule>
  </conditionalFormatting>
  <conditionalFormatting sqref="B58">
    <cfRule type="cellIs" priority="2" dxfId="0" operator="lessThan" stopIfTrue="1">
      <formula>$B$50</formula>
    </cfRule>
  </conditionalFormatting>
  <conditionalFormatting sqref="B59">
    <cfRule type="cellIs" priority="3" dxfId="0" operator="lessThan" stopIfTrue="1">
      <formula>$B$51</formula>
    </cfRule>
  </conditionalFormatting>
  <conditionalFormatting sqref="B60">
    <cfRule type="cellIs" priority="4" dxfId="0" operator="lessThan" stopIfTrue="1">
      <formula>$B$52+$B$53</formula>
    </cfRule>
  </conditionalFormatting>
  <conditionalFormatting sqref="B51:B54">
    <cfRule type="cellIs" priority="5" dxfId="1" operator="equal" stopIfTrue="1">
      <formula>""</formula>
    </cfRule>
  </conditionalFormatting>
  <conditionalFormatting sqref="B40">
    <cfRule type="cellIs" priority="6" dxfId="0" operator="greaterThan" stopIfTrue="1">
      <formula>$AE$36</formula>
    </cfRule>
  </conditionalFormatting>
  <dataValidations count="4">
    <dataValidation type="decimal" operator="greaterThan" allowBlank="1" showInputMessage="1" showErrorMessage="1" sqref="B18">
      <formula1>B17</formula1>
    </dataValidation>
    <dataValidation type="list" allowBlank="1" showInputMessage="1" showErrorMessage="1" sqref="B19">
      <formula1>$V$45:$V$49</formula1>
    </dataValidation>
    <dataValidation type="list" allowBlank="1" showInputMessage="1" showErrorMessage="1" sqref="B20">
      <formula1>$AE$38:$AE$40</formula1>
    </dataValidation>
    <dataValidation type="list" allowBlank="1" showInputMessage="1" showErrorMessage="1" sqref="B13">
      <formula1>$AE$32:$AE$33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0"/>
  <rowBreaks count="1" manualBreakCount="1">
    <brk id="62" max="255" man="1"/>
  </rowBreaks>
  <colBreaks count="1" manualBreakCount="1">
    <brk id="15" max="65535" man="1"/>
  </colBreaks>
  <drawing r:id="rId9"/>
  <legacyDrawing r:id="rId8"/>
  <oleObjects>
    <oleObject progId="Designer.Drawing.7" shapeId="803868" r:id="rId2"/>
    <oleObject progId="Designer.Drawing.7" shapeId="1153284" r:id="rId3"/>
    <oleObject progId="Designer.Drawing.7" shapeId="1289084" r:id="rId4"/>
    <oleObject progId="Designer.Drawing.7" shapeId="703575" r:id="rId5"/>
    <oleObject progId="Designer.Drawing.7" shapeId="423675" r:id="rId6"/>
    <oleObject progId="Designer.Drawing.7" shapeId="102936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cp:lastPrinted>2021-12-17T12:55:08Z</cp:lastPrinted>
  <dcterms:created xsi:type="dcterms:W3CDTF">2021-10-24T14:34:01Z</dcterms:created>
  <dcterms:modified xsi:type="dcterms:W3CDTF">2021-12-17T12:58:03Z</dcterms:modified>
  <cp:category/>
  <cp:version/>
  <cp:contentType/>
  <cp:contentStatus/>
</cp:coreProperties>
</file>