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0" windowWidth="16305" windowHeight="10575" activeTab="0"/>
  </bookViews>
  <sheets>
    <sheet name="Choix" sheetId="1" r:id="rId1"/>
    <sheet name="Epure&amp;flèche" sheetId="2" r:id="rId2"/>
  </sheets>
  <definedNames>
    <definedName name="OLE_LINK1" localSheetId="0">'Choix'!#REF!</definedName>
    <definedName name="taba">'Choix'!$AI$28:$AK$31</definedName>
    <definedName name="tabac">'Epure&amp;flèche'!$B$26:$J$32</definedName>
    <definedName name="tabfck">'Choix'!$AH$6:$AO$19</definedName>
    <definedName name="tabfck2">'Choix'!$AA$44:$AI$63</definedName>
    <definedName name="tabh">'Choix'!$B$34:$H$35</definedName>
    <definedName name="_xlnm.Print_Area" localSheetId="1">'Epure&amp;flèche'!$A$1:$W$141</definedName>
  </definedNames>
  <calcPr calcMode="manual" fullCalcOnLoad="1"/>
</workbook>
</file>

<file path=xl/comments1.xml><?xml version="1.0" encoding="utf-8"?>
<comments xmlns="http://schemas.openxmlformats.org/spreadsheetml/2006/main">
  <authors>
    <author>Henry</author>
  </authors>
  <commentList>
    <comment ref="C35" authorId="0">
      <text>
        <r>
          <rPr>
            <b/>
            <sz val="9"/>
            <rFont val="Tahoma"/>
            <family val="0"/>
          </rPr>
          <t>1 = diagramme parabole-rectangle
2 = diagramme de Sargin</t>
        </r>
      </text>
    </comment>
    <comment ref="B426" authorId="0">
      <text>
        <r>
          <rPr>
            <b/>
            <sz val="9"/>
            <rFont val="Tahoma"/>
            <family val="0"/>
          </rPr>
          <t>diagramme béton :
1 = parabole-rectangle
2=Sargin</t>
        </r>
      </text>
    </comment>
    <comment ref="H502" authorId="0">
      <text>
        <r>
          <rPr>
            <b/>
            <sz val="9"/>
            <rFont val="Tahoma"/>
            <family val="0"/>
          </rPr>
          <t>par rapport au sommet de la section béton, positif vers le bas</t>
        </r>
        <r>
          <rPr>
            <sz val="9"/>
            <rFont val="Tahoma"/>
            <family val="0"/>
          </rPr>
          <t xml:space="preserve">
</t>
        </r>
      </text>
    </comment>
    <comment ref="M532" authorId="0">
      <text>
        <r>
          <rPr>
            <b/>
            <sz val="9"/>
            <rFont val="Tahoma"/>
            <family val="0"/>
          </rPr>
          <t>Ne pas oublier le dernier appui à droite</t>
        </r>
        <r>
          <rPr>
            <sz val="9"/>
            <rFont val="Tahoma"/>
            <family val="0"/>
          </rPr>
          <t xml:space="preserve">
</t>
        </r>
      </text>
    </comment>
    <comment ref="L3" authorId="0">
      <text>
        <r>
          <rPr>
            <b/>
            <sz val="8"/>
            <color indexed="10"/>
            <rFont val="Tahoma"/>
            <family val="2"/>
          </rPr>
          <t>L'utilisateur est prié de vérifier la pertinence des résultats</t>
        </r>
      </text>
    </comment>
  </commentList>
</comments>
</file>

<file path=xl/comments2.xml><?xml version="1.0" encoding="utf-8"?>
<comments xmlns="http://schemas.openxmlformats.org/spreadsheetml/2006/main">
  <authors>
    <author>AT</author>
    <author>Henry</author>
  </authors>
  <commentList>
    <comment ref="J119" authorId="0">
      <text>
        <r>
          <rPr>
            <b/>
            <sz val="8"/>
            <rFont val="Tahoma"/>
            <family val="0"/>
          </rPr>
          <t xml:space="preserve">Fibre neutre
</t>
        </r>
      </text>
    </comment>
    <comment ref="M10" authorId="1">
      <text>
        <r>
          <rPr>
            <b/>
            <sz val="9"/>
            <rFont val="Tahoma"/>
            <family val="0"/>
          </rPr>
          <t>En fonction de la durée du chargement ELS ou 15 forfaitairement suivant le Guide FD P18-717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<sst xmlns="http://schemas.openxmlformats.org/spreadsheetml/2006/main" count="1850" uniqueCount="812">
  <si>
    <t>b</t>
  </si>
  <si>
    <r>
      <t>f</t>
    </r>
    <r>
      <rPr>
        <vertAlign val="subscript"/>
        <sz val="9"/>
        <rFont val="Arial"/>
        <family val="2"/>
      </rPr>
      <t>cd</t>
    </r>
  </si>
  <si>
    <r>
      <t>E</t>
    </r>
    <r>
      <rPr>
        <vertAlign val="subscript"/>
        <sz val="9"/>
        <rFont val="Arial"/>
        <family val="2"/>
      </rPr>
      <t>cm</t>
    </r>
  </si>
  <si>
    <r>
      <t>a</t>
    </r>
    <r>
      <rPr>
        <vertAlign val="subscript"/>
        <sz val="9"/>
        <rFont val="Arial"/>
        <family val="2"/>
      </rPr>
      <t>e</t>
    </r>
  </si>
  <si>
    <r>
      <t>f</t>
    </r>
    <r>
      <rPr>
        <vertAlign val="subscript"/>
        <sz val="9"/>
        <rFont val="Arial"/>
        <family val="2"/>
      </rPr>
      <t>yd</t>
    </r>
  </si>
  <si>
    <r>
      <t>e</t>
    </r>
    <r>
      <rPr>
        <vertAlign val="subscript"/>
        <sz val="9"/>
        <rFont val="Arial"/>
        <family val="2"/>
      </rPr>
      <t>s</t>
    </r>
  </si>
  <si>
    <t>A</t>
  </si>
  <si>
    <t>k</t>
  </si>
  <si>
    <r>
      <t>e</t>
    </r>
    <r>
      <rPr>
        <vertAlign val="subscript"/>
        <sz val="9"/>
        <rFont val="Arial"/>
        <family val="2"/>
      </rPr>
      <t>uk</t>
    </r>
  </si>
  <si>
    <t>‰</t>
  </si>
  <si>
    <t>MPa</t>
  </si>
  <si>
    <t>m</t>
  </si>
  <si>
    <t>kNm</t>
  </si>
  <si>
    <r>
      <t>cm</t>
    </r>
    <r>
      <rPr>
        <vertAlign val="superscript"/>
        <sz val="9"/>
        <rFont val="Arial"/>
        <family val="2"/>
      </rPr>
      <t>2</t>
    </r>
  </si>
  <si>
    <r>
      <t>f</t>
    </r>
    <r>
      <rPr>
        <vertAlign val="subscript"/>
        <sz val="9"/>
        <rFont val="Arial"/>
        <family val="2"/>
      </rPr>
      <t>ck</t>
    </r>
  </si>
  <si>
    <t>largeur</t>
  </si>
  <si>
    <t>hauteur utile</t>
  </si>
  <si>
    <t>r</t>
  </si>
  <si>
    <t>g</t>
  </si>
  <si>
    <r>
      <t>e</t>
    </r>
    <r>
      <rPr>
        <vertAlign val="subscript"/>
        <sz val="9"/>
        <rFont val="Arial"/>
        <family val="2"/>
      </rPr>
      <t>c2</t>
    </r>
  </si>
  <si>
    <r>
      <t>e</t>
    </r>
    <r>
      <rPr>
        <vertAlign val="subscript"/>
        <sz val="9"/>
        <rFont val="Arial"/>
        <family val="2"/>
      </rPr>
      <t>cu2</t>
    </r>
  </si>
  <si>
    <t>z</t>
  </si>
  <si>
    <r>
      <t>e</t>
    </r>
    <r>
      <rPr>
        <vertAlign val="subscript"/>
        <sz val="9"/>
        <rFont val="Arial"/>
        <family val="2"/>
      </rPr>
      <t>c</t>
    </r>
  </si>
  <si>
    <r>
      <t>s</t>
    </r>
    <r>
      <rPr>
        <vertAlign val="subscript"/>
        <sz val="9"/>
        <rFont val="Arial"/>
        <family val="2"/>
      </rPr>
      <t>s</t>
    </r>
  </si>
  <si>
    <r>
      <t>M</t>
    </r>
    <r>
      <rPr>
        <vertAlign val="subscript"/>
        <sz val="9"/>
        <rFont val="Arial"/>
        <family val="2"/>
      </rPr>
      <t>R</t>
    </r>
  </si>
  <si>
    <t>h</t>
  </si>
  <si>
    <t>y</t>
  </si>
  <si>
    <t>MR</t>
  </si>
  <si>
    <t>I</t>
  </si>
  <si>
    <t>v</t>
  </si>
  <si>
    <r>
      <t>f</t>
    </r>
    <r>
      <rPr>
        <vertAlign val="subscript"/>
        <sz val="9"/>
        <rFont val="Arial"/>
        <family val="2"/>
      </rPr>
      <t>ctm</t>
    </r>
  </si>
  <si>
    <t>n</t>
  </si>
  <si>
    <r>
      <t>f</t>
    </r>
    <r>
      <rPr>
        <vertAlign val="subscript"/>
        <sz val="9"/>
        <rFont val="Arial"/>
        <family val="2"/>
      </rPr>
      <t>ctk,0,05</t>
    </r>
  </si>
  <si>
    <t>d</t>
  </si>
  <si>
    <r>
      <t>e</t>
    </r>
    <r>
      <rPr>
        <vertAlign val="subscript"/>
        <sz val="9"/>
        <rFont val="Arial"/>
        <family val="2"/>
      </rPr>
      <t>cu2</t>
    </r>
  </si>
  <si>
    <r>
      <t>M</t>
    </r>
    <r>
      <rPr>
        <vertAlign val="subscript"/>
        <sz val="9"/>
        <rFont val="Arial"/>
        <family val="2"/>
      </rPr>
      <t>Rd</t>
    </r>
  </si>
  <si>
    <r>
      <t>F</t>
    </r>
    <r>
      <rPr>
        <vertAlign val="subscript"/>
        <sz val="9"/>
        <rFont val="Arial"/>
        <family val="2"/>
      </rPr>
      <t>s</t>
    </r>
  </si>
  <si>
    <r>
      <t>F</t>
    </r>
    <r>
      <rPr>
        <vertAlign val="subscript"/>
        <sz val="9"/>
        <rFont val="Arial"/>
        <family val="2"/>
      </rPr>
      <t>c</t>
    </r>
  </si>
  <si>
    <r>
      <t>s</t>
    </r>
    <r>
      <rPr>
        <vertAlign val="subscript"/>
        <sz val="9"/>
        <rFont val="Arial"/>
        <family val="2"/>
      </rPr>
      <t>c</t>
    </r>
  </si>
  <si>
    <t>kN</t>
  </si>
  <si>
    <r>
      <t>b</t>
    </r>
    <r>
      <rPr>
        <vertAlign val="subscript"/>
        <sz val="9"/>
        <rFont val="Arial"/>
        <family val="2"/>
      </rPr>
      <t>w</t>
    </r>
  </si>
  <si>
    <r>
      <t>h</t>
    </r>
    <r>
      <rPr>
        <vertAlign val="subscript"/>
        <sz val="9"/>
        <rFont val="Arial"/>
        <family val="2"/>
      </rPr>
      <t>f</t>
    </r>
  </si>
  <si>
    <r>
      <t>e</t>
    </r>
    <r>
      <rPr>
        <vertAlign val="subscript"/>
        <sz val="9"/>
        <rFont val="Arial"/>
        <family val="2"/>
      </rPr>
      <t>b</t>
    </r>
  </si>
  <si>
    <t>B</t>
  </si>
  <si>
    <t>C</t>
  </si>
  <si>
    <t>D</t>
  </si>
  <si>
    <r>
      <t>A</t>
    </r>
    <r>
      <rPr>
        <vertAlign val="subscript"/>
        <sz val="9"/>
        <rFont val="Arial"/>
        <family val="2"/>
      </rPr>
      <t>sup</t>
    </r>
  </si>
  <si>
    <r>
      <t>A</t>
    </r>
    <r>
      <rPr>
        <vertAlign val="subscript"/>
        <sz val="9"/>
        <rFont val="Arial"/>
        <family val="2"/>
      </rPr>
      <t>inf</t>
    </r>
  </si>
  <si>
    <t>finer(b, h, bw, hf, ds, di, Asup, Ainf, ae, code)</t>
  </si>
  <si>
    <t>S</t>
  </si>
  <si>
    <t>v'</t>
  </si>
  <si>
    <t>I/v</t>
  </si>
  <si>
    <t>I/v'</t>
  </si>
  <si>
    <r>
      <t>pour A</t>
    </r>
    <r>
      <rPr>
        <vertAlign val="subscript"/>
        <sz val="9"/>
        <rFont val="Arial"/>
        <family val="2"/>
      </rPr>
      <t>inf</t>
    </r>
  </si>
  <si>
    <r>
      <t>pour A</t>
    </r>
    <r>
      <rPr>
        <vertAlign val="subscript"/>
        <sz val="9"/>
        <rFont val="Arial"/>
        <family val="2"/>
      </rPr>
      <t>sup</t>
    </r>
  </si>
  <si>
    <t>,</t>
  </si>
  <si>
    <r>
      <t>d</t>
    </r>
    <r>
      <rPr>
        <vertAlign val="subscript"/>
        <sz val="9"/>
        <rFont val="Arial"/>
        <family val="2"/>
      </rPr>
      <t>1</t>
    </r>
  </si>
  <si>
    <r>
      <t>s</t>
    </r>
    <r>
      <rPr>
        <vertAlign val="subscript"/>
        <sz val="9"/>
        <rFont val="Arial"/>
        <family val="2"/>
      </rPr>
      <t>s1</t>
    </r>
  </si>
  <si>
    <t>diagramme</t>
  </si>
  <si>
    <t>Résultats</t>
  </si>
  <si>
    <r>
      <t>e</t>
    </r>
    <r>
      <rPr>
        <vertAlign val="subscript"/>
        <sz val="9"/>
        <rFont val="Arial"/>
        <family val="2"/>
      </rPr>
      <t>s1</t>
    </r>
  </si>
  <si>
    <t>Vérification</t>
  </si>
  <si>
    <t>inférieur</t>
  </si>
  <si>
    <t>acier</t>
  </si>
  <si>
    <t>largeur table</t>
  </si>
  <si>
    <t>largeur âme</t>
  </si>
  <si>
    <t>hauteur table</t>
  </si>
  <si>
    <t>béton</t>
  </si>
  <si>
    <r>
      <t>1 - fMRd : moment résistant d'une section enTé pour A</t>
    </r>
    <r>
      <rPr>
        <b/>
        <vertAlign val="subscript"/>
        <sz val="9"/>
        <rFont val="Arial"/>
        <family val="2"/>
      </rPr>
      <t>inf</t>
    </r>
    <r>
      <rPr>
        <b/>
        <sz val="9"/>
        <rFont val="Arial"/>
        <family val="2"/>
      </rPr>
      <t xml:space="preserve"> et A</t>
    </r>
    <r>
      <rPr>
        <b/>
        <vertAlign val="subscript"/>
        <sz val="9"/>
        <rFont val="Arial"/>
        <family val="2"/>
      </rPr>
      <t>sup</t>
    </r>
    <r>
      <rPr>
        <b/>
        <sz val="9"/>
        <rFont val="Arial"/>
        <family val="2"/>
      </rPr>
      <t xml:space="preserve"> donnés</t>
    </r>
  </si>
  <si>
    <t>Données</t>
  </si>
  <si>
    <t>Diagramme parabole-rectangle</t>
  </si>
  <si>
    <r>
      <t>3 - fMRd4 - Moment résistant pour A</t>
    </r>
    <r>
      <rPr>
        <b/>
        <vertAlign val="subscript"/>
        <sz val="9"/>
        <rFont val="Arial"/>
        <family val="2"/>
      </rPr>
      <t>inf</t>
    </r>
    <r>
      <rPr>
        <b/>
        <sz val="9"/>
        <rFont val="Arial"/>
        <family val="2"/>
      </rPr>
      <t xml:space="preserve"> et </t>
    </r>
    <r>
      <rPr>
        <b/>
        <sz val="9"/>
        <rFont val="Symbol"/>
        <family val="1"/>
      </rPr>
      <t>e</t>
    </r>
    <r>
      <rPr>
        <b/>
        <vertAlign val="subscript"/>
        <sz val="9"/>
        <rFont val="Arial"/>
        <family val="2"/>
      </rPr>
      <t>s</t>
    </r>
    <r>
      <rPr>
        <b/>
        <sz val="9"/>
        <rFont val="Arial"/>
        <family val="2"/>
      </rPr>
      <t xml:space="preserve"> donnés</t>
    </r>
  </si>
  <si>
    <r>
      <t>vérification F</t>
    </r>
    <r>
      <rPr>
        <vertAlign val="subscript"/>
        <sz val="9"/>
        <rFont val="Arial"/>
        <family val="2"/>
      </rPr>
      <t>c</t>
    </r>
    <r>
      <rPr>
        <sz val="9"/>
        <rFont val="Arial"/>
        <family val="0"/>
      </rPr>
      <t xml:space="preserve"> = F</t>
    </r>
    <r>
      <rPr>
        <vertAlign val="subscript"/>
        <sz val="9"/>
        <rFont val="Arial"/>
        <family val="2"/>
      </rPr>
      <t>s</t>
    </r>
  </si>
  <si>
    <r>
      <t>F</t>
    </r>
    <r>
      <rPr>
        <vertAlign val="subscript"/>
        <sz val="9"/>
        <rFont val="Arial"/>
        <family val="2"/>
      </rPr>
      <t>s1</t>
    </r>
  </si>
  <si>
    <r>
      <t>= f</t>
    </r>
    <r>
      <rPr>
        <vertAlign val="subscript"/>
        <sz val="9"/>
        <rFont val="Arial"/>
        <family val="2"/>
      </rPr>
      <t>yd</t>
    </r>
    <r>
      <rPr>
        <sz val="9"/>
        <rFont val="Arial"/>
        <family val="0"/>
      </rPr>
      <t>/E</t>
    </r>
    <r>
      <rPr>
        <vertAlign val="subscript"/>
        <sz val="9"/>
        <rFont val="Arial"/>
        <family val="2"/>
      </rPr>
      <t>s</t>
    </r>
  </si>
  <si>
    <t>dessin</t>
  </si>
  <si>
    <r>
      <t>M</t>
    </r>
    <r>
      <rPr>
        <vertAlign val="subscript"/>
        <sz val="9"/>
        <rFont val="Arial"/>
        <family val="2"/>
      </rPr>
      <t>Ed</t>
    </r>
  </si>
  <si>
    <t>hauteur totale</t>
  </si>
  <si>
    <t>armatures inférieures</t>
  </si>
  <si>
    <t>armatures supérieures</t>
  </si>
  <si>
    <r>
      <t>e</t>
    </r>
    <r>
      <rPr>
        <vertAlign val="subscript"/>
        <sz val="9"/>
        <rFont val="Arial"/>
        <family val="2"/>
      </rPr>
      <t>h</t>
    </r>
  </si>
  <si>
    <t>déformation en haut</t>
  </si>
  <si>
    <t>déformation en bas</t>
  </si>
  <si>
    <t>contrainte maxi béton</t>
  </si>
  <si>
    <r>
      <t>position relative résultante F</t>
    </r>
    <r>
      <rPr>
        <vertAlign val="subscript"/>
        <sz val="9"/>
        <rFont val="Arial"/>
        <family val="2"/>
      </rPr>
      <t>c</t>
    </r>
  </si>
  <si>
    <r>
      <t>m</t>
    </r>
    <r>
      <rPr>
        <vertAlign val="superscript"/>
        <sz val="9"/>
        <rFont val="Arial"/>
        <family val="2"/>
      </rPr>
      <t>2</t>
    </r>
  </si>
  <si>
    <r>
      <t>m</t>
    </r>
    <r>
      <rPr>
        <vertAlign val="superscript"/>
        <sz val="9"/>
        <rFont val="Arial"/>
        <family val="2"/>
      </rPr>
      <t>4</t>
    </r>
  </si>
  <si>
    <r>
      <t>m</t>
    </r>
    <r>
      <rPr>
        <vertAlign val="superscript"/>
        <sz val="9"/>
        <rFont val="Arial"/>
        <family val="2"/>
      </rPr>
      <t>3</t>
    </r>
  </si>
  <si>
    <t>surface</t>
  </si>
  <si>
    <t>dist.cdg à fibre sup.</t>
  </si>
  <si>
    <t>dist.cdg à fibre inf.</t>
  </si>
  <si>
    <t>moment d'inertie</t>
  </si>
  <si>
    <t>module d'inertie</t>
  </si>
  <si>
    <t>q</t>
  </si>
  <si>
    <r>
      <t>n</t>
    </r>
    <r>
      <rPr>
        <vertAlign val="subscript"/>
        <sz val="9"/>
        <rFont val="Arial"/>
        <family val="2"/>
      </rPr>
      <t>ap</t>
    </r>
  </si>
  <si>
    <r>
      <t>L</t>
    </r>
    <r>
      <rPr>
        <vertAlign val="subscript"/>
        <sz val="9"/>
        <rFont val="Arial"/>
        <family val="2"/>
      </rPr>
      <t>n</t>
    </r>
  </si>
  <si>
    <r>
      <t>t</t>
    </r>
    <r>
      <rPr>
        <vertAlign val="subscript"/>
        <sz val="9"/>
        <rFont val="Arial"/>
        <family val="2"/>
      </rPr>
      <t>g</t>
    </r>
  </si>
  <si>
    <r>
      <t>L</t>
    </r>
    <r>
      <rPr>
        <vertAlign val="subscript"/>
        <sz val="9"/>
        <rFont val="Arial"/>
        <family val="2"/>
      </rPr>
      <t>ef</t>
    </r>
  </si>
  <si>
    <t>kN/m</t>
  </si>
  <si>
    <t>portée entre nus</t>
  </si>
  <si>
    <t>charges permanentes</t>
  </si>
  <si>
    <t>charges variables</t>
  </si>
  <si>
    <r>
      <t>g</t>
    </r>
    <r>
      <rPr>
        <vertAlign val="subscript"/>
        <sz val="9"/>
        <rFont val="Arial"/>
        <family val="2"/>
      </rPr>
      <t>u</t>
    </r>
  </si>
  <si>
    <r>
      <t>p</t>
    </r>
    <r>
      <rPr>
        <vertAlign val="subscript"/>
        <sz val="9"/>
        <rFont val="Arial"/>
        <family val="2"/>
      </rPr>
      <t>u</t>
    </r>
  </si>
  <si>
    <r>
      <t>g</t>
    </r>
    <r>
      <rPr>
        <vertAlign val="subscript"/>
        <sz val="9"/>
        <rFont val="Arial"/>
        <family val="2"/>
      </rPr>
      <t>G</t>
    </r>
  </si>
  <si>
    <r>
      <t>g</t>
    </r>
    <r>
      <rPr>
        <vertAlign val="subscript"/>
        <sz val="9"/>
        <rFont val="Arial"/>
        <family val="2"/>
      </rPr>
      <t>Q</t>
    </r>
  </si>
  <si>
    <t>coefficient sur les charges permanentes</t>
  </si>
  <si>
    <t>coefficient sur les charges variables</t>
  </si>
  <si>
    <t>nombre d'appuis</t>
  </si>
  <si>
    <r>
      <t>M</t>
    </r>
    <r>
      <rPr>
        <vertAlign val="subscript"/>
        <sz val="9"/>
        <rFont val="Arial"/>
        <family val="2"/>
      </rPr>
      <t>R,ap</t>
    </r>
  </si>
  <si>
    <t>moments sur appui imposés éventuels (sinon rien)</t>
  </si>
  <si>
    <t>largeur des appuis (m)</t>
  </si>
  <si>
    <t>0=3 moments, 1=moments limités sur appuis</t>
  </si>
  <si>
    <t>code</t>
  </si>
  <si>
    <t>Moments à l'axe</t>
  </si>
  <si>
    <t>Travée n°</t>
  </si>
  <si>
    <t>Appui n°</t>
  </si>
  <si>
    <t>Moment au nu  gauche de l'appui</t>
  </si>
  <si>
    <t>Moment au nu  droit de l'appui</t>
  </si>
  <si>
    <t>Moment mini (algébrique) aux deux nus de l'appui</t>
  </si>
  <si>
    <t>Moment à mi-travée i</t>
  </si>
  <si>
    <t>Moment maximal en travée i</t>
  </si>
  <si>
    <r>
      <t>2 - fMRd3 - Moment résistant pour A</t>
    </r>
    <r>
      <rPr>
        <vertAlign val="subscript"/>
        <sz val="9"/>
        <rFont val="Arial"/>
        <family val="2"/>
      </rPr>
      <t>inf</t>
    </r>
    <r>
      <rPr>
        <sz val="9"/>
        <rFont val="Arial"/>
        <family val="2"/>
      </rPr>
      <t xml:space="preserve"> donné et </t>
    </r>
    <r>
      <rPr>
        <sz val="9"/>
        <rFont val="Symbol"/>
        <family val="1"/>
      </rPr>
      <t>e</t>
    </r>
    <r>
      <rPr>
        <vertAlign val="subscript"/>
        <sz val="9"/>
        <rFont val="Arial"/>
        <family val="2"/>
      </rPr>
      <t>s</t>
    </r>
    <r>
      <rPr>
        <sz val="9"/>
        <rFont val="Arial"/>
        <family val="2"/>
      </rPr>
      <t xml:space="preserve"> variant de 0 à </t>
    </r>
    <r>
      <rPr>
        <sz val="9"/>
        <rFont val="Symbol"/>
        <family val="1"/>
      </rPr>
      <t>e</t>
    </r>
    <r>
      <rPr>
        <vertAlign val="subscript"/>
        <sz val="9"/>
        <rFont val="Arial"/>
        <family val="2"/>
      </rPr>
      <t>ud</t>
    </r>
  </si>
  <si>
    <r>
      <t>3 - fMRd4 - Moment résistant pour A</t>
    </r>
    <r>
      <rPr>
        <vertAlign val="subscript"/>
        <sz val="9"/>
        <rFont val="Arial"/>
        <family val="2"/>
      </rPr>
      <t>inf</t>
    </r>
    <r>
      <rPr>
        <sz val="9"/>
        <rFont val="Arial"/>
        <family val="2"/>
      </rPr>
      <t xml:space="preserve"> et </t>
    </r>
    <r>
      <rPr>
        <sz val="9"/>
        <rFont val="Symbol"/>
        <family val="1"/>
      </rPr>
      <t>e</t>
    </r>
    <r>
      <rPr>
        <vertAlign val="subscript"/>
        <sz val="9"/>
        <rFont val="Arial"/>
        <family val="2"/>
      </rPr>
      <t>s</t>
    </r>
    <r>
      <rPr>
        <sz val="9"/>
        <rFont val="Arial"/>
        <family val="2"/>
      </rPr>
      <t xml:space="preserve"> donnés</t>
    </r>
  </si>
  <si>
    <r>
      <t xml:space="preserve">5 - Calcul de </t>
    </r>
    <r>
      <rPr>
        <sz val="9"/>
        <rFont val="Symbol"/>
        <family val="1"/>
      </rPr>
      <t>e</t>
    </r>
    <r>
      <rPr>
        <vertAlign val="subscript"/>
        <sz val="9"/>
        <rFont val="Arial"/>
        <family val="2"/>
      </rPr>
      <t>c</t>
    </r>
    <r>
      <rPr>
        <sz val="9"/>
        <rFont val="Arial"/>
        <family val="2"/>
      </rPr>
      <t xml:space="preserve">, </t>
    </r>
    <r>
      <rPr>
        <sz val="9"/>
        <rFont val="Symbol"/>
        <family val="1"/>
      </rPr>
      <t>e</t>
    </r>
    <r>
      <rPr>
        <vertAlign val="subscript"/>
        <sz val="9"/>
        <rFont val="Arial"/>
        <family val="2"/>
      </rPr>
      <t>s</t>
    </r>
    <r>
      <rPr>
        <sz val="9"/>
        <rFont val="Arial"/>
        <family val="2"/>
      </rPr>
      <t xml:space="preserve">, </t>
    </r>
    <r>
      <rPr>
        <sz val="9"/>
        <rFont val="Symbol"/>
        <family val="1"/>
      </rPr>
      <t>e</t>
    </r>
    <r>
      <rPr>
        <vertAlign val="subscript"/>
        <sz val="9"/>
        <rFont val="Arial"/>
        <family val="2"/>
      </rPr>
      <t>h</t>
    </r>
    <r>
      <rPr>
        <sz val="9"/>
        <rFont val="Arial"/>
        <family val="2"/>
      </rPr>
      <t xml:space="preserve"> et </t>
    </r>
    <r>
      <rPr>
        <sz val="9"/>
        <rFont val="Symbol"/>
        <family val="1"/>
      </rPr>
      <t>e</t>
    </r>
    <r>
      <rPr>
        <vertAlign val="subscript"/>
        <sz val="9"/>
        <rFont val="Arial"/>
        <family val="2"/>
      </rPr>
      <t>b</t>
    </r>
    <r>
      <rPr>
        <sz val="9"/>
        <rFont val="Arial"/>
        <family val="2"/>
      </rPr>
      <t xml:space="preserve"> en fonction de M</t>
    </r>
    <r>
      <rPr>
        <vertAlign val="subscript"/>
        <sz val="9"/>
        <rFont val="Arial"/>
        <family val="2"/>
      </rPr>
      <t xml:space="preserve">Ed </t>
    </r>
    <r>
      <rPr>
        <sz val="9"/>
        <rFont val="Arial"/>
        <family val="2"/>
      </rPr>
      <t>et A</t>
    </r>
    <r>
      <rPr>
        <vertAlign val="subscript"/>
        <sz val="9"/>
        <rFont val="Arial"/>
        <family val="2"/>
      </rPr>
      <t>s</t>
    </r>
  </si>
  <si>
    <t>Programmes auxiliaires</t>
  </si>
  <si>
    <t>H. Thonier</t>
  </si>
  <si>
    <t>i</t>
  </si>
  <si>
    <t>Ln</t>
  </si>
  <si>
    <t>Lef</t>
  </si>
  <si>
    <t>tg</t>
  </si>
  <si>
    <t>td</t>
  </si>
  <si>
    <t>Dessin</t>
  </si>
  <si>
    <t>Mcas 1</t>
  </si>
  <si>
    <t>Mcas 2</t>
  </si>
  <si>
    <t>Mcas 3</t>
  </si>
  <si>
    <t>xrel</t>
  </si>
  <si>
    <t>xabs</t>
  </si>
  <si>
    <t>n°</t>
  </si>
  <si>
    <t>nus</t>
  </si>
  <si>
    <t>axes</t>
  </si>
  <si>
    <t>appuis</t>
  </si>
  <si>
    <t>Leff</t>
  </si>
  <si>
    <t>cumulé</t>
  </si>
  <si>
    <t>kkr</t>
  </si>
  <si>
    <t>avec code</t>
  </si>
  <si>
    <t>avec code=1</t>
  </si>
  <si>
    <t>min</t>
  </si>
  <si>
    <t>max</t>
  </si>
  <si>
    <t>quote-part</t>
  </si>
  <si>
    <r>
      <t>e</t>
    </r>
    <r>
      <rPr>
        <vertAlign val="subscript"/>
        <sz val="9"/>
        <rFont val="Arial"/>
        <family val="2"/>
      </rPr>
      <t>s</t>
    </r>
    <r>
      <rPr>
        <sz val="9"/>
        <rFont val="Arial"/>
        <family val="0"/>
      </rPr>
      <t xml:space="preserve"> limité à </t>
    </r>
  </si>
  <si>
    <t>contrainte armature tendue</t>
  </si>
  <si>
    <t>effort armature tendue</t>
  </si>
  <si>
    <t>effort armature comprimée</t>
  </si>
  <si>
    <t>moment appliqué (&gt; 0)</t>
  </si>
  <si>
    <t>dist.axe arm.sup.à fib.sup.</t>
  </si>
  <si>
    <t>bras de levier de l'armature comprimée</t>
  </si>
  <si>
    <r>
      <t>M</t>
    </r>
    <r>
      <rPr>
        <vertAlign val="subscript"/>
        <sz val="9"/>
        <rFont val="Arial"/>
        <family val="2"/>
      </rPr>
      <t>R</t>
    </r>
    <r>
      <rPr>
        <sz val="9"/>
        <rFont val="Arial"/>
        <family val="0"/>
      </rPr>
      <t>/M</t>
    </r>
    <r>
      <rPr>
        <vertAlign val="subscript"/>
        <sz val="9"/>
        <rFont val="Arial"/>
        <family val="2"/>
      </rPr>
      <t>Ed</t>
    </r>
    <r>
      <rPr>
        <sz val="9"/>
        <rFont val="Arial"/>
        <family val="0"/>
      </rPr>
      <t xml:space="preserve"> =</t>
    </r>
  </si>
  <si>
    <t>contrainte armature comprimée</t>
  </si>
  <si>
    <t>déformation de l'armature tendue</t>
  </si>
  <si>
    <t>déformation de l'armature comprimée</t>
  </si>
  <si>
    <r>
      <t>F</t>
    </r>
    <r>
      <rPr>
        <vertAlign val="subscript"/>
        <sz val="9"/>
        <rFont val="Arial"/>
        <family val="2"/>
      </rPr>
      <t>c1</t>
    </r>
  </si>
  <si>
    <t>compression dessous de table</t>
  </si>
  <si>
    <r>
      <t>F</t>
    </r>
    <r>
      <rPr>
        <vertAlign val="subscript"/>
        <sz val="9"/>
        <rFont val="Arial"/>
        <family val="2"/>
      </rPr>
      <t>s</t>
    </r>
    <r>
      <rPr>
        <sz val="9"/>
        <rFont val="Arial"/>
        <family val="0"/>
      </rPr>
      <t>/(F</t>
    </r>
    <r>
      <rPr>
        <vertAlign val="subscript"/>
        <sz val="9"/>
        <rFont val="Arial"/>
        <family val="2"/>
      </rPr>
      <t>c</t>
    </r>
    <r>
      <rPr>
        <sz val="9"/>
        <rFont val="Arial"/>
        <family val="2"/>
      </rPr>
      <t>+F</t>
    </r>
    <r>
      <rPr>
        <vertAlign val="subscript"/>
        <sz val="9"/>
        <rFont val="Arial"/>
        <family val="2"/>
      </rPr>
      <t>c1</t>
    </r>
    <r>
      <rPr>
        <sz val="9"/>
        <rFont val="Arial"/>
        <family val="0"/>
      </rPr>
      <t>+F</t>
    </r>
    <r>
      <rPr>
        <vertAlign val="subscript"/>
        <sz val="9"/>
        <rFont val="Arial"/>
        <family val="2"/>
      </rPr>
      <t>s1</t>
    </r>
    <r>
      <rPr>
        <sz val="9"/>
        <rFont val="Arial"/>
        <family val="0"/>
      </rPr>
      <t>)</t>
    </r>
  </si>
  <si>
    <t>résultante béton sur b.y</t>
  </si>
  <si>
    <r>
      <t>moment résistant = F</t>
    </r>
    <r>
      <rPr>
        <vertAlign val="subscript"/>
        <sz val="9"/>
        <rFont val="Arial"/>
        <family val="2"/>
      </rPr>
      <t>c</t>
    </r>
    <r>
      <rPr>
        <sz val="9"/>
        <rFont val="Arial"/>
        <family val="0"/>
      </rPr>
      <t>.z+F</t>
    </r>
    <r>
      <rPr>
        <vertAlign val="subscript"/>
        <sz val="9"/>
        <rFont val="Arial"/>
        <family val="2"/>
      </rPr>
      <t>c1</t>
    </r>
    <r>
      <rPr>
        <sz val="9"/>
        <rFont val="Arial"/>
        <family val="0"/>
      </rPr>
      <t>.z</t>
    </r>
    <r>
      <rPr>
        <vertAlign val="subscript"/>
        <sz val="9"/>
        <rFont val="Arial"/>
        <family val="2"/>
      </rPr>
      <t>c1</t>
    </r>
    <r>
      <rPr>
        <sz val="9"/>
        <rFont val="Arial"/>
        <family val="0"/>
      </rPr>
      <t>+F</t>
    </r>
    <r>
      <rPr>
        <vertAlign val="subscript"/>
        <sz val="9"/>
        <rFont val="Arial"/>
        <family val="2"/>
      </rPr>
      <t>s1</t>
    </r>
    <r>
      <rPr>
        <sz val="9"/>
        <rFont val="Arial"/>
        <family val="0"/>
      </rPr>
      <t>.z</t>
    </r>
    <r>
      <rPr>
        <vertAlign val="subscript"/>
        <sz val="9"/>
        <rFont val="Arial"/>
        <family val="2"/>
      </rPr>
      <t>s1</t>
    </r>
  </si>
  <si>
    <t>MN</t>
  </si>
  <si>
    <r>
      <t>coefficient de remplissage de F</t>
    </r>
    <r>
      <rPr>
        <vertAlign val="subscript"/>
        <sz val="9"/>
        <rFont val="Arial"/>
        <family val="2"/>
      </rPr>
      <t>c</t>
    </r>
  </si>
  <si>
    <r>
      <t>bras de levier du béton comprimé F</t>
    </r>
    <r>
      <rPr>
        <vertAlign val="subscript"/>
        <sz val="9"/>
        <rFont val="Arial"/>
        <family val="2"/>
      </rPr>
      <t>c</t>
    </r>
  </si>
  <si>
    <t>bras de levier du béton sous table</t>
  </si>
  <si>
    <r>
      <t>z</t>
    </r>
    <r>
      <rPr>
        <vertAlign val="subscript"/>
        <sz val="9"/>
        <rFont val="Arial"/>
        <family val="2"/>
      </rPr>
      <t>s1</t>
    </r>
  </si>
  <si>
    <r>
      <t>z</t>
    </r>
    <r>
      <rPr>
        <vertAlign val="subscript"/>
        <sz val="9"/>
        <rFont val="Arial"/>
        <family val="2"/>
      </rPr>
      <t>c1</t>
    </r>
  </si>
  <si>
    <r>
      <t>1 - fMRd : Moment résistant d'une section enTé pour A</t>
    </r>
    <r>
      <rPr>
        <vertAlign val="subscript"/>
        <sz val="9"/>
        <rFont val="Arial"/>
        <family val="2"/>
      </rPr>
      <t>inf</t>
    </r>
    <r>
      <rPr>
        <sz val="9"/>
        <rFont val="Arial"/>
        <family val="2"/>
      </rPr>
      <t xml:space="preserve"> et A</t>
    </r>
    <r>
      <rPr>
        <vertAlign val="subscript"/>
        <sz val="9"/>
        <rFont val="Arial"/>
        <family val="2"/>
      </rPr>
      <t>sup</t>
    </r>
    <r>
      <rPr>
        <sz val="9"/>
        <rFont val="Arial"/>
        <family val="2"/>
      </rPr>
      <t xml:space="preserve"> donnés</t>
    </r>
  </si>
  <si>
    <t>Travée</t>
  </si>
  <si>
    <t>nbre d'appuis :</t>
  </si>
  <si>
    <t>fcch(k, na, gg, gq, tabg, tabq, gg, gq)</t>
  </si>
  <si>
    <t>coefficient des charges permanentes</t>
  </si>
  <si>
    <t>coefficient des charges variables</t>
  </si>
  <si>
    <t>8 - Equation des 3 moments avec possibilité de plafonner les moments aux nus des appuis</t>
  </si>
  <si>
    <r>
      <t>d</t>
    </r>
    <r>
      <rPr>
        <vertAlign val="subscript"/>
        <sz val="9"/>
        <rFont val="Arial"/>
        <family val="2"/>
      </rPr>
      <t>sup</t>
    </r>
  </si>
  <si>
    <r>
      <t>d</t>
    </r>
    <r>
      <rPr>
        <vertAlign val="subscript"/>
        <sz val="9"/>
        <rFont val="Arial"/>
        <family val="2"/>
      </rPr>
      <t>inf</t>
    </r>
  </si>
  <si>
    <r>
      <t xml:space="preserve">7 - Moment d'inertie d'une section non fissurée homogénéisée avec </t>
    </r>
    <r>
      <rPr>
        <b/>
        <sz val="9"/>
        <rFont val="Symbol"/>
        <family val="1"/>
      </rPr>
      <t>a</t>
    </r>
    <r>
      <rPr>
        <b/>
        <vertAlign val="subscript"/>
        <sz val="9"/>
        <rFont val="Arial"/>
        <family val="2"/>
      </rPr>
      <t>e</t>
    </r>
  </si>
  <si>
    <t>finef(b, h, bw, hf, ds, di, Asup, Ainf, ae, code)</t>
  </si>
  <si>
    <t>x</t>
  </si>
  <si>
    <t>hauteur comprimée</t>
  </si>
  <si>
    <t>Flèche maximale</t>
  </si>
  <si>
    <t>mm</t>
  </si>
  <si>
    <r>
      <t>corrigées avec d</t>
    </r>
    <r>
      <rPr>
        <vertAlign val="subscript"/>
        <sz val="9"/>
        <rFont val="Arial Narrow"/>
        <family val="2"/>
      </rPr>
      <t>inf</t>
    </r>
    <r>
      <rPr>
        <sz val="9"/>
        <rFont val="Arial Narrow"/>
        <family val="2"/>
      </rPr>
      <t xml:space="preserve"> et d</t>
    </r>
    <r>
      <rPr>
        <vertAlign val="subscript"/>
        <sz val="9"/>
        <rFont val="Arial Narrow"/>
        <family val="2"/>
      </rPr>
      <t>sup</t>
    </r>
  </si>
  <si>
    <t>Inerties non fissurées calculées en section homogénéisée</t>
  </si>
  <si>
    <t>Armatures requises</t>
  </si>
  <si>
    <t>Armatures mises</t>
  </si>
  <si>
    <t>Hauteurs utiles</t>
  </si>
  <si>
    <t>non fissuré</t>
  </si>
  <si>
    <t>fissuré</t>
  </si>
  <si>
    <t>Rotation</t>
  </si>
  <si>
    <t>Flèche</t>
  </si>
  <si>
    <r>
      <t>x</t>
    </r>
    <r>
      <rPr>
        <vertAlign val="subscript"/>
        <sz val="9"/>
        <rFont val="Arial"/>
        <family val="2"/>
      </rPr>
      <t>axe</t>
    </r>
  </si>
  <si>
    <r>
      <t>x</t>
    </r>
    <r>
      <rPr>
        <vertAlign val="subscript"/>
        <sz val="9"/>
        <rFont val="Arial"/>
        <family val="2"/>
      </rPr>
      <t>nu</t>
    </r>
  </si>
  <si>
    <t>M(x)</t>
  </si>
  <si>
    <r>
      <t>A</t>
    </r>
    <r>
      <rPr>
        <vertAlign val="subscript"/>
        <sz val="9"/>
        <rFont val="Arial"/>
        <family val="2"/>
      </rPr>
      <t>s,inf</t>
    </r>
    <r>
      <rPr>
        <sz val="9"/>
        <rFont val="Arial"/>
        <family val="0"/>
      </rPr>
      <t>(x)</t>
    </r>
  </si>
  <si>
    <r>
      <t>A</t>
    </r>
    <r>
      <rPr>
        <vertAlign val="subscript"/>
        <sz val="9"/>
        <rFont val="Arial"/>
        <family val="2"/>
      </rPr>
      <t>s,sup</t>
    </r>
    <r>
      <rPr>
        <sz val="9"/>
        <rFont val="Arial"/>
        <family val="0"/>
      </rPr>
      <t>(x)</t>
    </r>
  </si>
  <si>
    <r>
      <t>I</t>
    </r>
    <r>
      <rPr>
        <vertAlign val="subscript"/>
        <sz val="9"/>
        <color indexed="8"/>
        <rFont val="Arial"/>
        <family val="2"/>
      </rPr>
      <t>nf</t>
    </r>
  </si>
  <si>
    <r>
      <t>I</t>
    </r>
    <r>
      <rPr>
        <vertAlign val="subscript"/>
        <sz val="9"/>
        <color indexed="8"/>
        <rFont val="Arial"/>
        <family val="2"/>
      </rPr>
      <t>nf</t>
    </r>
    <r>
      <rPr>
        <sz val="9"/>
        <color indexed="8"/>
        <rFont val="Arial"/>
        <family val="2"/>
      </rPr>
      <t>/v</t>
    </r>
  </si>
  <si>
    <r>
      <t>I</t>
    </r>
    <r>
      <rPr>
        <vertAlign val="subscript"/>
        <sz val="9"/>
        <color indexed="8"/>
        <rFont val="Arial"/>
        <family val="2"/>
      </rPr>
      <t>nf</t>
    </r>
    <r>
      <rPr>
        <sz val="9"/>
        <color indexed="8"/>
        <rFont val="Arial"/>
        <family val="2"/>
      </rPr>
      <t>/v'</t>
    </r>
  </si>
  <si>
    <r>
      <t>M</t>
    </r>
    <r>
      <rPr>
        <vertAlign val="subscript"/>
        <sz val="9"/>
        <rFont val="Arial"/>
        <family val="2"/>
      </rPr>
      <t>cr</t>
    </r>
  </si>
  <si>
    <r>
      <t>I</t>
    </r>
    <r>
      <rPr>
        <vertAlign val="subscript"/>
        <sz val="9"/>
        <color indexed="8"/>
        <rFont val="Arial"/>
        <family val="2"/>
      </rPr>
      <t>f</t>
    </r>
  </si>
  <si>
    <t>R</t>
  </si>
  <si>
    <t>w</t>
  </si>
  <si>
    <t>f</t>
  </si>
  <si>
    <t>Simpson</t>
  </si>
  <si>
    <t>Eq.7.19</t>
  </si>
  <si>
    <r>
      <t>10</t>
    </r>
    <r>
      <rPr>
        <vertAlign val="superscript"/>
        <sz val="9"/>
        <rFont val="Arial"/>
        <family val="2"/>
      </rPr>
      <t>3</t>
    </r>
    <r>
      <rPr>
        <sz val="9"/>
        <rFont val="Arial"/>
        <family val="0"/>
      </rPr>
      <t>m</t>
    </r>
    <r>
      <rPr>
        <vertAlign val="superscript"/>
        <sz val="9"/>
        <rFont val="Arial"/>
        <family val="2"/>
      </rPr>
      <t>-1</t>
    </r>
  </si>
  <si>
    <t>mrd</t>
  </si>
  <si>
    <t>p</t>
  </si>
  <si>
    <t>3HA12</t>
  </si>
  <si>
    <t>3HA10</t>
  </si>
  <si>
    <t>chapeaux à gauche</t>
  </si>
  <si>
    <t>chapeaux à droite</t>
  </si>
  <si>
    <t>M</t>
  </si>
  <si>
    <t>Asprov,inf</t>
  </si>
  <si>
    <t>Asprov,sup</t>
  </si>
  <si>
    <t>As,rqd,inf</t>
  </si>
  <si>
    <t>As,rqd,sup</t>
  </si>
  <si>
    <t>tabac</t>
  </si>
  <si>
    <r>
      <t>c</t>
    </r>
    <r>
      <rPr>
        <vertAlign val="subscript"/>
        <sz val="9"/>
        <rFont val="Arial"/>
        <family val="2"/>
      </rPr>
      <t>nom,inf</t>
    </r>
  </si>
  <si>
    <r>
      <t>c</t>
    </r>
    <r>
      <rPr>
        <vertAlign val="subscript"/>
        <sz val="9"/>
        <rFont val="Arial"/>
        <family val="2"/>
      </rPr>
      <t>nom,sup</t>
    </r>
  </si>
  <si>
    <r>
      <t>Ø</t>
    </r>
    <r>
      <rPr>
        <vertAlign val="subscript"/>
        <sz val="9"/>
        <rFont val="Arial"/>
        <family val="2"/>
      </rPr>
      <t>t</t>
    </r>
  </si>
  <si>
    <r>
      <t>g</t>
    </r>
    <r>
      <rPr>
        <vertAlign val="subscript"/>
        <sz val="9"/>
        <rFont val="Arial"/>
        <family val="2"/>
      </rPr>
      <t>S</t>
    </r>
  </si>
  <si>
    <r>
      <t>f</t>
    </r>
    <r>
      <rPr>
        <vertAlign val="subscript"/>
        <sz val="9"/>
        <rFont val="Arial"/>
        <family val="2"/>
      </rPr>
      <t>yk</t>
    </r>
  </si>
  <si>
    <r>
      <t>cot</t>
    </r>
    <r>
      <rPr>
        <sz val="9"/>
        <rFont val="Symbol"/>
        <family val="1"/>
      </rPr>
      <t>q</t>
    </r>
  </si>
  <si>
    <r>
      <t>g</t>
    </r>
    <r>
      <rPr>
        <vertAlign val="subscript"/>
        <sz val="9"/>
        <rFont val="Arial"/>
        <family val="2"/>
      </rPr>
      <t>C</t>
    </r>
  </si>
  <si>
    <r>
      <t>n</t>
    </r>
    <r>
      <rPr>
        <vertAlign val="subscript"/>
        <sz val="9"/>
        <rFont val="Arial"/>
        <family val="2"/>
      </rPr>
      <t>k</t>
    </r>
  </si>
  <si>
    <r>
      <t>x</t>
    </r>
    <r>
      <rPr>
        <vertAlign val="subscript"/>
        <sz val="9"/>
        <rFont val="Arial"/>
        <family val="2"/>
      </rPr>
      <t>0</t>
    </r>
    <r>
      <rPr>
        <sz val="9"/>
        <rFont val="Arial"/>
        <family val="2"/>
      </rPr>
      <t xml:space="preserve"> ou x</t>
    </r>
    <r>
      <rPr>
        <vertAlign val="subscript"/>
        <sz val="9"/>
        <rFont val="Arial"/>
        <family val="2"/>
      </rPr>
      <t>1</t>
    </r>
  </si>
  <si>
    <r>
      <t>M</t>
    </r>
    <r>
      <rPr>
        <vertAlign val="subscript"/>
        <sz val="9"/>
        <rFont val="Arial"/>
        <family val="2"/>
      </rPr>
      <t>g</t>
    </r>
  </si>
  <si>
    <r>
      <t>M</t>
    </r>
    <r>
      <rPr>
        <vertAlign val="subscript"/>
        <sz val="9"/>
        <rFont val="Arial"/>
        <family val="2"/>
      </rPr>
      <t>d</t>
    </r>
  </si>
  <si>
    <r>
      <t>f</t>
    </r>
    <r>
      <rPr>
        <vertAlign val="subscript"/>
        <sz val="9"/>
        <rFont val="Arial"/>
        <family val="2"/>
      </rPr>
      <t>bd,inf</t>
    </r>
  </si>
  <si>
    <r>
      <t>A</t>
    </r>
    <r>
      <rPr>
        <vertAlign val="subscript"/>
        <sz val="9"/>
        <rFont val="Arial"/>
        <family val="2"/>
      </rPr>
      <t>s</t>
    </r>
  </si>
  <si>
    <r>
      <t>f</t>
    </r>
    <r>
      <rPr>
        <vertAlign val="subscript"/>
        <sz val="9"/>
        <rFont val="Arial"/>
        <family val="2"/>
      </rPr>
      <t>bd,sup</t>
    </r>
  </si>
  <si>
    <r>
      <t>a</t>
    </r>
    <r>
      <rPr>
        <vertAlign val="subscript"/>
        <sz val="9"/>
        <rFont val="Arial"/>
        <family val="2"/>
      </rPr>
      <t>l</t>
    </r>
  </si>
  <si>
    <r>
      <t>d</t>
    </r>
    <r>
      <rPr>
        <vertAlign val="subscript"/>
        <sz val="9"/>
        <rFont val="Arial"/>
        <family val="2"/>
      </rPr>
      <t>a priori</t>
    </r>
  </si>
  <si>
    <r>
      <t>valeurs corrigée par d</t>
    </r>
    <r>
      <rPr>
        <vertAlign val="subscript"/>
        <sz val="9"/>
        <rFont val="Arial"/>
        <family val="2"/>
      </rPr>
      <t>réel</t>
    </r>
  </si>
  <si>
    <r>
      <t>D</t>
    </r>
    <r>
      <rPr>
        <sz val="9"/>
        <rFont val="Arial"/>
        <family val="0"/>
      </rPr>
      <t>M</t>
    </r>
    <r>
      <rPr>
        <vertAlign val="subscript"/>
        <sz val="9"/>
        <rFont val="Arial"/>
        <family val="2"/>
      </rPr>
      <t>inf</t>
    </r>
  </si>
  <si>
    <r>
      <t>D</t>
    </r>
    <r>
      <rPr>
        <sz val="9"/>
        <rFont val="Arial"/>
        <family val="0"/>
      </rPr>
      <t>M</t>
    </r>
    <r>
      <rPr>
        <vertAlign val="subscript"/>
        <sz val="9"/>
        <rFont val="Arial"/>
        <family val="2"/>
      </rPr>
      <t>sup</t>
    </r>
  </si>
  <si>
    <r>
      <t>M</t>
    </r>
    <r>
      <rPr>
        <vertAlign val="subscript"/>
        <sz val="9"/>
        <rFont val="Arial"/>
        <family val="2"/>
      </rPr>
      <t>prov</t>
    </r>
    <r>
      <rPr>
        <sz val="9"/>
        <rFont val="Arial"/>
        <family val="0"/>
      </rPr>
      <t>-M</t>
    </r>
    <r>
      <rPr>
        <vertAlign val="subscript"/>
        <sz val="9"/>
        <rFont val="Arial"/>
        <family val="2"/>
      </rPr>
      <t>rqd</t>
    </r>
  </si>
  <si>
    <t>Epure d'arrêt des barres pour un cas de charge donné</t>
  </si>
  <si>
    <t>Détermination des armatures nécessaires et mises en place</t>
  </si>
  <si>
    <t>Béton</t>
  </si>
  <si>
    <t>Acier</t>
  </si>
  <si>
    <t>Géométrie</t>
  </si>
  <si>
    <r>
      <t>»</t>
    </r>
    <r>
      <rPr>
        <sz val="9"/>
        <rFont val="Arial"/>
        <family val="0"/>
      </rPr>
      <t xml:space="preserve"> 0,95d ?</t>
    </r>
  </si>
  <si>
    <t>coefficient d'équivalence</t>
  </si>
  <si>
    <r>
      <t>m   = 0,5.(0,9d).cot</t>
    </r>
    <r>
      <rPr>
        <sz val="9"/>
        <rFont val="Symbol"/>
        <family val="1"/>
      </rPr>
      <t>q</t>
    </r>
    <r>
      <rPr>
        <sz val="9"/>
        <rFont val="Arial"/>
        <family val="2"/>
      </rPr>
      <t xml:space="preserve">  décalage</t>
    </r>
  </si>
  <si>
    <t>Appui droit</t>
  </si>
  <si>
    <t>Appui gauche</t>
  </si>
  <si>
    <t>En travée</t>
  </si>
  <si>
    <r>
      <t>A</t>
    </r>
    <r>
      <rPr>
        <vertAlign val="subscript"/>
        <sz val="9"/>
        <rFont val="Arial"/>
        <family val="2"/>
      </rPr>
      <t>s,rqd</t>
    </r>
    <r>
      <rPr>
        <sz val="9"/>
        <rFont val="Arial"/>
        <family val="0"/>
      </rPr>
      <t>/A</t>
    </r>
    <r>
      <rPr>
        <vertAlign val="subscript"/>
        <sz val="9"/>
        <rFont val="Arial"/>
        <family val="2"/>
      </rPr>
      <t>s,prov</t>
    </r>
  </si>
  <si>
    <r>
      <t>A</t>
    </r>
    <r>
      <rPr>
        <vertAlign val="subscript"/>
        <sz val="9"/>
        <rFont val="Arial"/>
        <family val="2"/>
      </rPr>
      <t>s,req</t>
    </r>
  </si>
  <si>
    <r>
      <t>A</t>
    </r>
    <r>
      <rPr>
        <vertAlign val="subscript"/>
        <sz val="9"/>
        <rFont val="Arial"/>
        <family val="2"/>
      </rPr>
      <t>s,prov</t>
    </r>
  </si>
  <si>
    <t>épaisseur table</t>
  </si>
  <si>
    <t>charge linéaire</t>
  </si>
  <si>
    <t>moment sur appui gauche</t>
  </si>
  <si>
    <t>moments sur appui droit</t>
  </si>
  <si>
    <t>longueur appui gauche</t>
  </si>
  <si>
    <r>
      <t>t</t>
    </r>
    <r>
      <rPr>
        <vertAlign val="subscript"/>
        <sz val="9"/>
        <rFont val="Arial"/>
        <family val="2"/>
      </rPr>
      <t>d</t>
    </r>
  </si>
  <si>
    <t>longueur appui droit</t>
  </si>
  <si>
    <t>nb de tronçons</t>
  </si>
  <si>
    <r>
      <t>£</t>
    </r>
    <r>
      <rPr>
        <sz val="9"/>
        <rFont val="Arial"/>
        <family val="0"/>
      </rPr>
      <t xml:space="preserve"> 100</t>
    </r>
  </si>
  <si>
    <t>portée effective</t>
  </si>
  <si>
    <t>longueur du lit</t>
  </si>
  <si>
    <t>distance au nu</t>
  </si>
  <si>
    <r>
      <t>L</t>
    </r>
    <r>
      <rPr>
        <vertAlign val="subscript"/>
        <sz val="9"/>
        <rFont val="Arial"/>
        <family val="2"/>
      </rPr>
      <t>b</t>
    </r>
  </si>
  <si>
    <t>diamètre</t>
  </si>
  <si>
    <t>section armatures</t>
  </si>
  <si>
    <t>Ø</t>
  </si>
  <si>
    <r>
      <t>n</t>
    </r>
    <r>
      <rPr>
        <vertAlign val="subscript"/>
        <sz val="9"/>
        <rFont val="Arial"/>
        <family val="2"/>
      </rPr>
      <t>b</t>
    </r>
  </si>
  <si>
    <t>M &gt; 0</t>
  </si>
  <si>
    <t>M &lt; 0</t>
  </si>
  <si>
    <t>Rotations sur appuis</t>
  </si>
  <si>
    <t>gauche</t>
  </si>
  <si>
    <t>droit</t>
  </si>
  <si>
    <t>2HA12</t>
  </si>
  <si>
    <t>x/axe</t>
  </si>
  <si>
    <r>
      <t>a</t>
    </r>
    <r>
      <rPr>
        <vertAlign val="subscript"/>
        <sz val="9"/>
        <rFont val="Arial"/>
        <family val="2"/>
      </rPr>
      <t>pg</t>
    </r>
  </si>
  <si>
    <r>
      <t>= Min(h;t</t>
    </r>
    <r>
      <rPr>
        <vertAlign val="subscript"/>
        <sz val="9"/>
        <rFont val="Arial"/>
        <family val="2"/>
      </rPr>
      <t>g</t>
    </r>
    <r>
      <rPr>
        <sz val="9"/>
        <rFont val="Arial"/>
        <family val="0"/>
      </rPr>
      <t>)/2</t>
    </r>
  </si>
  <si>
    <r>
      <t>A</t>
    </r>
    <r>
      <rPr>
        <vertAlign val="subscript"/>
        <sz val="9"/>
        <rFont val="Arial"/>
        <family val="2"/>
      </rPr>
      <t>s,min</t>
    </r>
  </si>
  <si>
    <r>
      <t>f</t>
    </r>
    <r>
      <rPr>
        <vertAlign val="subscript"/>
        <sz val="9"/>
        <rFont val="Arial"/>
        <family val="2"/>
      </rPr>
      <t>ctm,fl</t>
    </r>
  </si>
  <si>
    <r>
      <t>E</t>
    </r>
    <r>
      <rPr>
        <vertAlign val="subscript"/>
        <sz val="9"/>
        <rFont val="Arial"/>
        <family val="2"/>
      </rPr>
      <t>c</t>
    </r>
  </si>
  <si>
    <r>
      <t>cm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 xml:space="preserve">   % mini d'armatures (EC2 : § 9.1)</t>
    </r>
  </si>
  <si>
    <t>L'auteur n'est pas</t>
  </si>
  <si>
    <t>responsable de</t>
  </si>
  <si>
    <t>de ce programme</t>
  </si>
  <si>
    <t>l'utilisation faite</t>
  </si>
  <si>
    <t>Cacul de la flèche par intégration</t>
  </si>
  <si>
    <r>
      <t>Sections maximales (cm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</si>
  <si>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t>Ainf</t>
  </si>
  <si>
    <t>Asup</t>
  </si>
  <si>
    <r>
      <t>L</t>
    </r>
    <r>
      <rPr>
        <vertAlign val="subscript"/>
        <sz val="9"/>
        <rFont val="Arial"/>
        <family val="2"/>
      </rPr>
      <t>nu</t>
    </r>
  </si>
  <si>
    <t>pas h/n</t>
  </si>
  <si>
    <t>Charges et sollicitations</t>
  </si>
  <si>
    <t>ELS</t>
  </si>
  <si>
    <t>ELU</t>
  </si>
  <si>
    <r>
      <t xml:space="preserve">Marge mini </t>
    </r>
    <r>
      <rPr>
        <sz val="9"/>
        <rFont val="Symbol"/>
        <family val="1"/>
      </rPr>
      <t>D</t>
    </r>
    <r>
      <rPr>
        <sz val="9"/>
        <rFont val="Arial"/>
        <family val="0"/>
      </rPr>
      <t>M</t>
    </r>
    <r>
      <rPr>
        <vertAlign val="subscript"/>
        <sz val="9"/>
        <rFont val="Arial"/>
        <family val="2"/>
      </rPr>
      <t>ELU</t>
    </r>
  </si>
  <si>
    <t>Abscisse</t>
  </si>
  <si>
    <t>inf.</t>
  </si>
  <si>
    <t>sup.</t>
  </si>
  <si>
    <t>Moment ELU</t>
  </si>
  <si>
    <t>MELS</t>
  </si>
  <si>
    <t>MELU</t>
  </si>
  <si>
    <t>dessin moments</t>
  </si>
  <si>
    <r>
      <t>V</t>
    </r>
    <r>
      <rPr>
        <vertAlign val="subscript"/>
        <sz val="9"/>
        <rFont val="Arial"/>
        <family val="2"/>
      </rPr>
      <t>Ed</t>
    </r>
  </si>
  <si>
    <r>
      <t>z.cot</t>
    </r>
    <r>
      <rPr>
        <sz val="9"/>
        <rFont val="Symbol"/>
        <family val="1"/>
      </rPr>
      <t>q</t>
    </r>
  </si>
  <si>
    <r>
      <t>V</t>
    </r>
    <r>
      <rPr>
        <vertAlign val="subscript"/>
        <sz val="9"/>
        <rFont val="Arial"/>
        <family val="2"/>
      </rPr>
      <t>Ed,gauche</t>
    </r>
  </si>
  <si>
    <r>
      <t>V</t>
    </r>
    <r>
      <rPr>
        <vertAlign val="subscript"/>
        <sz val="9"/>
        <rFont val="Arial"/>
        <family val="2"/>
      </rPr>
      <t>Ed,droite</t>
    </r>
  </si>
  <si>
    <t>droite</t>
  </si>
  <si>
    <r>
      <t>cot</t>
    </r>
    <r>
      <rPr>
        <sz val="9"/>
        <rFont val="Symbol"/>
        <family val="1"/>
      </rPr>
      <t>q</t>
    </r>
    <r>
      <rPr>
        <vertAlign val="subscript"/>
        <sz val="9"/>
        <rFont val="Arial"/>
        <family val="2"/>
      </rPr>
      <t>A</t>
    </r>
  </si>
  <si>
    <r>
      <t>F</t>
    </r>
    <r>
      <rPr>
        <vertAlign val="subscript"/>
        <sz val="9"/>
        <rFont val="Arial"/>
        <family val="2"/>
      </rPr>
      <t>Ed</t>
    </r>
  </si>
  <si>
    <r>
      <t>= V</t>
    </r>
    <r>
      <rPr>
        <vertAlign val="subscript"/>
        <sz val="9"/>
        <rFont val="Arial"/>
        <family val="2"/>
      </rPr>
      <t>Ed</t>
    </r>
    <r>
      <rPr>
        <sz val="9"/>
        <rFont val="Arial"/>
        <family val="0"/>
      </rPr>
      <t>+M</t>
    </r>
    <r>
      <rPr>
        <vertAlign val="subscript"/>
        <sz val="9"/>
        <rFont val="Arial"/>
        <family val="2"/>
      </rPr>
      <t>Ed</t>
    </r>
    <r>
      <rPr>
        <sz val="9"/>
        <rFont val="Arial"/>
        <family val="0"/>
      </rPr>
      <t>/z</t>
    </r>
  </si>
  <si>
    <r>
      <t>= F</t>
    </r>
    <r>
      <rPr>
        <vertAlign val="subscript"/>
        <sz val="9"/>
        <rFont val="Arial"/>
        <family val="2"/>
      </rPr>
      <t>Ed</t>
    </r>
    <r>
      <rPr>
        <sz val="9"/>
        <rFont val="Arial"/>
        <family val="0"/>
      </rPr>
      <t>/f</t>
    </r>
    <r>
      <rPr>
        <vertAlign val="subscript"/>
        <sz val="9"/>
        <rFont val="Arial"/>
        <family val="2"/>
      </rPr>
      <t>yd</t>
    </r>
  </si>
  <si>
    <t>Bielle d'appui</t>
  </si>
  <si>
    <t>Efforts tranchants (kN)</t>
  </si>
  <si>
    <r>
      <t>F</t>
    </r>
    <r>
      <rPr>
        <vertAlign val="subscript"/>
        <sz val="9"/>
        <rFont val="Arial"/>
        <family val="2"/>
      </rPr>
      <t>strut</t>
    </r>
  </si>
  <si>
    <r>
      <t>= V</t>
    </r>
    <r>
      <rPr>
        <vertAlign val="subscript"/>
        <sz val="9"/>
        <rFont val="Arial"/>
        <family val="2"/>
      </rPr>
      <t>Ed</t>
    </r>
    <r>
      <rPr>
        <sz val="9"/>
        <rFont val="Arial"/>
        <family val="0"/>
      </rPr>
      <t>/sin</t>
    </r>
    <r>
      <rPr>
        <sz val="9"/>
        <rFont val="Symbol"/>
        <family val="1"/>
      </rPr>
      <t>q</t>
    </r>
    <r>
      <rPr>
        <vertAlign val="subscript"/>
        <sz val="9"/>
        <rFont val="Arial"/>
        <family val="2"/>
      </rPr>
      <t>A</t>
    </r>
  </si>
  <si>
    <r>
      <t>s</t>
    </r>
    <r>
      <rPr>
        <vertAlign val="subscript"/>
        <sz val="9"/>
        <rFont val="Arial"/>
        <family val="2"/>
      </rPr>
      <t>strut</t>
    </r>
  </si>
  <si>
    <r>
      <t>s</t>
    </r>
    <r>
      <rPr>
        <vertAlign val="subscript"/>
        <sz val="9"/>
        <rFont val="Arial"/>
        <family val="2"/>
      </rPr>
      <t>node</t>
    </r>
  </si>
  <si>
    <t>a</t>
  </si>
  <si>
    <t>= 0,9d</t>
  </si>
  <si>
    <r>
      <t>= 0,5cot</t>
    </r>
    <r>
      <rPr>
        <sz val="9"/>
        <rFont val="Symbol"/>
        <family val="1"/>
      </rPr>
      <t>q</t>
    </r>
    <r>
      <rPr>
        <sz val="9"/>
        <rFont val="Arial"/>
        <family val="0"/>
      </rPr>
      <t xml:space="preserve"> +0,5a/z</t>
    </r>
  </si>
  <si>
    <r>
      <t>s</t>
    </r>
    <r>
      <rPr>
        <vertAlign val="subscript"/>
        <sz val="9"/>
        <rFont val="Arial"/>
        <family val="2"/>
      </rPr>
      <t>strut</t>
    </r>
    <r>
      <rPr>
        <sz val="9"/>
        <rFont val="Arial"/>
        <family val="0"/>
      </rPr>
      <t xml:space="preserve"> = V</t>
    </r>
    <r>
      <rPr>
        <vertAlign val="subscript"/>
        <sz val="9"/>
        <rFont val="Arial"/>
        <family val="2"/>
      </rPr>
      <t>Ed</t>
    </r>
    <r>
      <rPr>
        <sz val="9"/>
        <rFont val="Arial"/>
        <family val="0"/>
      </rPr>
      <t>.(1+cot</t>
    </r>
    <r>
      <rPr>
        <vertAlign val="superscript"/>
        <sz val="9"/>
        <rFont val="Arial"/>
        <family val="2"/>
      </rPr>
      <t>2</t>
    </r>
    <r>
      <rPr>
        <sz val="9"/>
        <rFont val="Symbol"/>
        <family val="1"/>
      </rPr>
      <t>q</t>
    </r>
    <r>
      <rPr>
        <sz val="9"/>
        <rFont val="Arial"/>
        <family val="0"/>
      </rPr>
      <t>)/(b</t>
    </r>
    <r>
      <rPr>
        <vertAlign val="subscript"/>
        <sz val="9"/>
        <rFont val="Arial"/>
        <family val="2"/>
      </rPr>
      <t>w</t>
    </r>
    <r>
      <rPr>
        <sz val="9"/>
        <rFont val="Arial"/>
        <family val="0"/>
      </rPr>
      <t>.a)</t>
    </r>
  </si>
  <si>
    <r>
      <t>s</t>
    </r>
    <r>
      <rPr>
        <vertAlign val="subscript"/>
        <sz val="9"/>
        <rFont val="Arial"/>
        <family val="2"/>
      </rPr>
      <t>node</t>
    </r>
    <r>
      <rPr>
        <sz val="9"/>
        <rFont val="Arial"/>
        <family val="0"/>
      </rPr>
      <t xml:space="preserve"> = V</t>
    </r>
    <r>
      <rPr>
        <vertAlign val="subscript"/>
        <sz val="9"/>
        <rFont val="Arial"/>
        <family val="2"/>
      </rPr>
      <t>Ed</t>
    </r>
    <r>
      <rPr>
        <sz val="9"/>
        <rFont val="Arial"/>
        <family val="0"/>
      </rPr>
      <t>.(1+cot</t>
    </r>
    <r>
      <rPr>
        <vertAlign val="superscript"/>
        <sz val="9"/>
        <rFont val="Arial"/>
        <family val="2"/>
      </rPr>
      <t>2</t>
    </r>
    <r>
      <rPr>
        <sz val="9"/>
        <rFont val="Symbol"/>
        <family val="1"/>
      </rPr>
      <t>q</t>
    </r>
    <r>
      <rPr>
        <sz val="9"/>
        <rFont val="Arial"/>
        <family val="0"/>
      </rPr>
      <t>)/(b</t>
    </r>
    <r>
      <rPr>
        <vertAlign val="subscript"/>
        <sz val="9"/>
        <rFont val="Arial"/>
        <family val="2"/>
      </rPr>
      <t>w</t>
    </r>
    <r>
      <rPr>
        <sz val="9"/>
        <rFont val="Arial"/>
        <family val="0"/>
      </rPr>
      <t>.0,5.(a+z.cot</t>
    </r>
    <r>
      <rPr>
        <sz val="9"/>
        <rFont val="Symbol"/>
        <family val="1"/>
      </rPr>
      <t>q</t>
    </r>
    <r>
      <rPr>
        <sz val="9"/>
        <rFont val="Arial"/>
        <family val="0"/>
      </rPr>
      <t>))</t>
    </r>
  </si>
  <si>
    <r>
      <t>= 0,6(1-f</t>
    </r>
    <r>
      <rPr>
        <vertAlign val="subscript"/>
        <sz val="9"/>
        <rFont val="Arial"/>
        <family val="2"/>
      </rPr>
      <t>ck</t>
    </r>
    <r>
      <rPr>
        <sz val="9"/>
        <rFont val="Arial"/>
        <family val="0"/>
      </rPr>
      <t>/250).f</t>
    </r>
    <r>
      <rPr>
        <vertAlign val="subscript"/>
        <sz val="9"/>
        <rFont val="Arial"/>
        <family val="2"/>
      </rPr>
      <t>cd</t>
    </r>
  </si>
  <si>
    <r>
      <t>= 0,85(1-f</t>
    </r>
    <r>
      <rPr>
        <vertAlign val="subscript"/>
        <sz val="9"/>
        <rFont val="Arial"/>
        <family val="2"/>
      </rPr>
      <t>ck</t>
    </r>
    <r>
      <rPr>
        <sz val="9"/>
        <rFont val="Arial"/>
        <family val="0"/>
      </rPr>
      <t>/250).f</t>
    </r>
    <r>
      <rPr>
        <vertAlign val="subscript"/>
        <sz val="9"/>
        <rFont val="Arial"/>
        <family val="2"/>
      </rPr>
      <t>cd</t>
    </r>
  </si>
  <si>
    <t>3HA16</t>
  </si>
  <si>
    <t>2HA14</t>
  </si>
  <si>
    <t>(EC2 § 7.4.3 (7))</t>
  </si>
  <si>
    <r>
      <t>a</t>
    </r>
    <r>
      <rPr>
        <vertAlign val="subscript"/>
        <sz val="9"/>
        <rFont val="Arial"/>
        <family val="2"/>
      </rPr>
      <t>pd</t>
    </r>
  </si>
  <si>
    <r>
      <t>= Min(h;t</t>
    </r>
    <r>
      <rPr>
        <vertAlign val="subscript"/>
        <sz val="9"/>
        <rFont val="Arial"/>
        <family val="2"/>
      </rPr>
      <t>d</t>
    </r>
    <r>
      <rPr>
        <sz val="9"/>
        <rFont val="Arial"/>
        <family val="0"/>
      </rPr>
      <t>)/3</t>
    </r>
  </si>
  <si>
    <t>à la distance du nu</t>
  </si>
  <si>
    <t>longueur d'ancrage de l'armature infér.</t>
  </si>
  <si>
    <t>Armatures d'effort tranchant</t>
  </si>
  <si>
    <r>
      <t>A</t>
    </r>
    <r>
      <rPr>
        <vertAlign val="subscript"/>
        <sz val="9"/>
        <rFont val="Arial"/>
        <family val="2"/>
      </rPr>
      <t>sw</t>
    </r>
    <r>
      <rPr>
        <sz val="9"/>
        <rFont val="Arial"/>
        <family val="0"/>
      </rPr>
      <t>/s</t>
    </r>
  </si>
  <si>
    <r>
      <t>A</t>
    </r>
    <r>
      <rPr>
        <vertAlign val="subscript"/>
        <sz val="9"/>
        <rFont val="Arial"/>
        <family val="2"/>
      </rPr>
      <t>sw</t>
    </r>
    <r>
      <rPr>
        <sz val="9"/>
        <rFont val="Arial"/>
        <family val="0"/>
      </rPr>
      <t>/s = V</t>
    </r>
    <r>
      <rPr>
        <vertAlign val="subscript"/>
        <sz val="9"/>
        <rFont val="Arial"/>
        <family val="2"/>
      </rPr>
      <t>Ed</t>
    </r>
    <r>
      <rPr>
        <sz val="9"/>
        <rFont val="Arial"/>
        <family val="0"/>
      </rPr>
      <t>/(z.f</t>
    </r>
    <r>
      <rPr>
        <vertAlign val="subscript"/>
        <sz val="9"/>
        <rFont val="Arial"/>
        <family val="2"/>
      </rPr>
      <t>yd</t>
    </r>
    <r>
      <rPr>
        <sz val="9"/>
        <rFont val="Arial"/>
        <family val="0"/>
      </rPr>
      <t>.cot</t>
    </r>
    <r>
      <rPr>
        <sz val="9"/>
        <rFont val="Symbol"/>
        <family val="1"/>
      </rPr>
      <t>q</t>
    </r>
    <r>
      <rPr>
        <sz val="9"/>
        <rFont val="Arial"/>
        <family val="0"/>
      </rPr>
      <t>)</t>
    </r>
  </si>
  <si>
    <r>
      <t>cm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/m</t>
    </r>
  </si>
  <si>
    <r>
      <t>(A</t>
    </r>
    <r>
      <rPr>
        <vertAlign val="subscript"/>
        <sz val="9"/>
        <rFont val="Arial"/>
        <family val="2"/>
      </rPr>
      <t>sw</t>
    </r>
    <r>
      <rPr>
        <sz val="9"/>
        <rFont val="Arial"/>
        <family val="0"/>
      </rPr>
      <t>/s)</t>
    </r>
    <r>
      <rPr>
        <vertAlign val="subscript"/>
        <sz val="9"/>
        <rFont val="Arial"/>
        <family val="2"/>
      </rPr>
      <t>min</t>
    </r>
  </si>
  <si>
    <r>
      <t>f</t>
    </r>
    <r>
      <rPr>
        <vertAlign val="subscript"/>
        <sz val="9"/>
        <rFont val="Arial"/>
        <family val="2"/>
      </rPr>
      <t>ctd</t>
    </r>
  </si>
  <si>
    <r>
      <t>L</t>
    </r>
    <r>
      <rPr>
        <vertAlign val="subscript"/>
        <sz val="9"/>
        <rFont val="Arial"/>
        <family val="2"/>
      </rPr>
      <t>bd,inf</t>
    </r>
    <r>
      <rPr>
        <sz val="9"/>
        <rFont val="Arial"/>
        <family val="2"/>
      </rPr>
      <t>/</t>
    </r>
    <r>
      <rPr>
        <sz val="9"/>
        <rFont val="Arial"/>
        <family val="0"/>
      </rPr>
      <t>Ø</t>
    </r>
  </si>
  <si>
    <r>
      <t>L</t>
    </r>
    <r>
      <rPr>
        <vertAlign val="subscript"/>
        <sz val="9"/>
        <rFont val="Arial"/>
        <family val="2"/>
      </rPr>
      <t>bd,sup</t>
    </r>
    <r>
      <rPr>
        <sz val="9"/>
        <rFont val="Arial"/>
        <family val="2"/>
      </rPr>
      <t>/</t>
    </r>
    <r>
      <rPr>
        <sz val="9"/>
        <rFont val="Arial"/>
        <family val="0"/>
      </rPr>
      <t>Ø</t>
    </r>
  </si>
  <si>
    <t>travée</t>
  </si>
  <si>
    <t>appui gau.</t>
  </si>
  <si>
    <t>appui droit</t>
  </si>
  <si>
    <r>
      <t>= f</t>
    </r>
    <r>
      <rPr>
        <vertAlign val="subscript"/>
        <sz val="9"/>
        <rFont val="Arial"/>
        <family val="2"/>
      </rPr>
      <t>yk</t>
    </r>
    <r>
      <rPr>
        <sz val="9"/>
        <rFont val="Arial"/>
        <family val="0"/>
      </rPr>
      <t>/</t>
    </r>
    <r>
      <rPr>
        <sz val="9"/>
        <rFont val="Symbol"/>
        <family val="1"/>
      </rPr>
      <t>g</t>
    </r>
    <r>
      <rPr>
        <vertAlign val="subscript"/>
        <sz val="9"/>
        <rFont val="Arial"/>
        <family val="2"/>
      </rPr>
      <t>S</t>
    </r>
  </si>
  <si>
    <t>décalage des arrêts de barres</t>
  </si>
  <si>
    <r>
      <t>a</t>
    </r>
    <r>
      <rPr>
        <vertAlign val="subscript"/>
        <sz val="9"/>
        <rFont val="Arial"/>
        <family val="2"/>
      </rPr>
      <t>l</t>
    </r>
    <r>
      <rPr>
        <sz val="9"/>
        <rFont val="Arial"/>
        <family val="0"/>
      </rPr>
      <t xml:space="preserve"> = 0,5z.cot</t>
    </r>
    <r>
      <rPr>
        <sz val="9"/>
        <rFont val="Symbol"/>
        <family val="1"/>
      </rPr>
      <t>q</t>
    </r>
  </si>
  <si>
    <t>diamètre cadres</t>
  </si>
  <si>
    <t>enrobage</t>
  </si>
  <si>
    <t>d°</t>
  </si>
  <si>
    <t>nb de barres du lit</t>
  </si>
  <si>
    <t>distance à l'axe</t>
  </si>
  <si>
    <t>classe</t>
  </si>
  <si>
    <t>(diagramme rectangulaire simplifié, parabole-rectangle ou Sargin)</t>
  </si>
  <si>
    <r>
      <t>e</t>
    </r>
    <r>
      <rPr>
        <vertAlign val="subscript"/>
        <sz val="9"/>
        <rFont val="Arial"/>
        <family val="2"/>
      </rPr>
      <t>c1</t>
    </r>
  </si>
  <si>
    <t>‰ Sargin</t>
  </si>
  <si>
    <r>
      <t>e</t>
    </r>
    <r>
      <rPr>
        <vertAlign val="subscript"/>
        <sz val="9"/>
        <rFont val="Arial"/>
        <family val="2"/>
      </rPr>
      <t>cu1</t>
    </r>
  </si>
  <si>
    <r>
      <t>k</t>
    </r>
    <r>
      <rPr>
        <vertAlign val="subscript"/>
        <sz val="9"/>
        <rFont val="Arial"/>
        <family val="2"/>
      </rPr>
      <t>c</t>
    </r>
  </si>
  <si>
    <t>Sargin</t>
  </si>
  <si>
    <t>‰  P-R</t>
  </si>
  <si>
    <t>P-R</t>
  </si>
  <si>
    <t>1-rect simpl</t>
  </si>
  <si>
    <t>rec.simp.</t>
  </si>
  <si>
    <t>2-para-rect</t>
  </si>
  <si>
    <t>3-Sargin</t>
  </si>
  <si>
    <t>diagramme :</t>
  </si>
  <si>
    <r>
      <t>e</t>
    </r>
    <r>
      <rPr>
        <vertAlign val="subscript"/>
        <sz val="9"/>
        <rFont val="Arial"/>
        <family val="2"/>
      </rPr>
      <t>ud</t>
    </r>
  </si>
  <si>
    <r>
      <t>N</t>
    </r>
    <r>
      <rPr>
        <vertAlign val="subscript"/>
        <sz val="9"/>
        <rFont val="Arial"/>
        <family val="2"/>
      </rPr>
      <t>Rd</t>
    </r>
  </si>
  <si>
    <r>
      <t>e</t>
    </r>
    <r>
      <rPr>
        <vertAlign val="subscript"/>
        <sz val="9"/>
        <rFont val="Arial"/>
        <family val="2"/>
      </rPr>
      <t>ca</t>
    </r>
  </si>
  <si>
    <t>facd</t>
  </si>
  <si>
    <t>facd(M0, b, h, bw, hf, d, fcd, ec1, ecu1, kc, ec2, ecu2, nex, fyd, euk, ks, typ)</t>
  </si>
  <si>
    <t>faca(M0, b, d, fcd, fck, ecu2, fyd, euk, ks)</t>
  </si>
  <si>
    <t>facb(M0, b, d, fcd, ec2, ecu2, nex, fyd, euk, ks)</t>
  </si>
  <si>
    <t>facc(M0, b, d, fcd, ec1, ecu1, kc, fyd, euk, ks)</t>
  </si>
  <si>
    <t>remplissage et position résultante béton comprimé diagramme P-R</t>
  </si>
  <si>
    <t>frgn(e, ec2, ecu2, n, code)</t>
  </si>
  <si>
    <t>remplissage et position résultante béton comprimé diagramme Sargin</t>
  </si>
  <si>
    <t>fKa(eh, ec1, kc, code)</t>
  </si>
  <si>
    <t>contrainte acier</t>
  </si>
  <si>
    <t>sis(eps, fyd, euk, k)</t>
  </si>
  <si>
    <t>lecture</t>
  </si>
  <si>
    <t>macf(UA, i</t>
  </si>
  <si>
    <t>écriture</t>
  </si>
  <si>
    <t>macd(a, n)</t>
  </si>
  <si>
    <t>paramètre choisi</t>
  </si>
  <si>
    <t>Variations des paramètres</t>
  </si>
  <si>
    <t>pour es=fyd/200</t>
  </si>
  <si>
    <r>
      <t>Courbes de variation de x, z,</t>
    </r>
    <r>
      <rPr>
        <b/>
        <sz val="9"/>
        <rFont val="Symbol"/>
        <family val="1"/>
      </rPr>
      <t xml:space="preserve"> e</t>
    </r>
    <r>
      <rPr>
        <b/>
        <vertAlign val="subscript"/>
        <sz val="9"/>
        <rFont val="Arial"/>
        <family val="2"/>
      </rPr>
      <t>s</t>
    </r>
    <r>
      <rPr>
        <b/>
        <sz val="9"/>
        <rFont val="Arial"/>
        <family val="0"/>
      </rPr>
      <t xml:space="preserve">, </t>
    </r>
    <r>
      <rPr>
        <b/>
        <sz val="9"/>
        <rFont val="Symbol"/>
        <family val="1"/>
      </rPr>
      <t>s</t>
    </r>
    <r>
      <rPr>
        <b/>
        <vertAlign val="subscript"/>
        <sz val="9"/>
        <rFont val="Arial"/>
        <family val="2"/>
      </rPr>
      <t>s</t>
    </r>
    <r>
      <rPr>
        <b/>
        <sz val="9"/>
        <rFont val="Arial"/>
        <family val="0"/>
      </rPr>
      <t>, A</t>
    </r>
    <r>
      <rPr>
        <b/>
        <vertAlign val="subscript"/>
        <sz val="9"/>
        <rFont val="Arial"/>
        <family val="2"/>
      </rPr>
      <t>s</t>
    </r>
    <r>
      <rPr>
        <b/>
        <sz val="9"/>
        <rFont val="Arial"/>
        <family val="0"/>
      </rPr>
      <t xml:space="preserve">, </t>
    </r>
    <r>
      <rPr>
        <b/>
        <sz val="9"/>
        <rFont val="Symbol"/>
        <family val="1"/>
      </rPr>
      <t>e</t>
    </r>
    <r>
      <rPr>
        <b/>
        <vertAlign val="subscript"/>
        <sz val="9"/>
        <rFont val="Arial"/>
        <family val="2"/>
      </rPr>
      <t>c</t>
    </r>
    <r>
      <rPr>
        <b/>
        <sz val="9"/>
        <rFont val="Arial"/>
        <family val="0"/>
      </rPr>
      <t>, N</t>
    </r>
    <r>
      <rPr>
        <b/>
        <vertAlign val="subscript"/>
        <sz val="9"/>
        <rFont val="Arial"/>
        <family val="2"/>
      </rPr>
      <t>Rd</t>
    </r>
    <r>
      <rPr>
        <b/>
        <sz val="9"/>
        <rFont val="Arial"/>
        <family val="0"/>
      </rPr>
      <t xml:space="preserve">, </t>
    </r>
    <r>
      <rPr>
        <b/>
        <sz val="9"/>
        <rFont val="Symbol"/>
        <family val="1"/>
      </rPr>
      <t>e</t>
    </r>
    <r>
      <rPr>
        <b/>
        <vertAlign val="subscript"/>
        <sz val="9"/>
        <rFont val="Arial"/>
        <family val="2"/>
      </rPr>
      <t>ca</t>
    </r>
    <r>
      <rPr>
        <b/>
        <sz val="9"/>
        <rFont val="Arial"/>
        <family val="0"/>
      </rPr>
      <t xml:space="preserve">, </t>
    </r>
    <r>
      <rPr>
        <b/>
        <sz val="9"/>
        <rFont val="Symbol"/>
        <family val="1"/>
      </rPr>
      <t>r</t>
    </r>
    <r>
      <rPr>
        <b/>
        <vertAlign val="subscript"/>
        <sz val="9"/>
        <rFont val="Arial"/>
        <family val="2"/>
      </rPr>
      <t>w</t>
    </r>
  </si>
  <si>
    <t>fmumax(b, bw, hf, d, ec2, ecu2, fck, fcd, fyd, nex)</t>
  </si>
  <si>
    <r>
      <t xml:space="preserve">kNm (en P-R pour </t>
    </r>
    <r>
      <rPr>
        <sz val="9"/>
        <rFont val="Symbol"/>
        <family val="1"/>
      </rPr>
      <t>e</t>
    </r>
    <r>
      <rPr>
        <vertAlign val="subscript"/>
        <sz val="9"/>
        <rFont val="Arial"/>
        <family val="2"/>
      </rPr>
      <t>s</t>
    </r>
    <r>
      <rPr>
        <sz val="9"/>
        <rFont val="Arial"/>
        <family val="0"/>
      </rPr>
      <t xml:space="preserve"> = f</t>
    </r>
    <r>
      <rPr>
        <vertAlign val="subscript"/>
        <sz val="9"/>
        <rFont val="Arial"/>
        <family val="2"/>
      </rPr>
      <t>yd</t>
    </r>
    <r>
      <rPr>
        <sz val="9"/>
        <rFont val="Arial"/>
        <family val="0"/>
      </rPr>
      <t>/E</t>
    </r>
    <r>
      <rPr>
        <vertAlign val="subscript"/>
        <sz val="9"/>
        <rFont val="Arial"/>
        <family val="2"/>
      </rPr>
      <t>s</t>
    </r>
    <r>
      <rPr>
        <sz val="9"/>
        <rFont val="Arial"/>
        <family val="0"/>
      </rPr>
      <t>)</t>
    </r>
  </si>
  <si>
    <r>
      <t>e</t>
    </r>
    <r>
      <rPr>
        <vertAlign val="subscript"/>
        <sz val="9"/>
        <rFont val="Arial"/>
        <family val="2"/>
      </rPr>
      <t>cu2</t>
    </r>
    <r>
      <rPr>
        <sz val="9"/>
        <rFont val="Arial"/>
        <family val="2"/>
      </rPr>
      <t xml:space="preserve"> et </t>
    </r>
    <r>
      <rPr>
        <sz val="9"/>
        <rFont val="Symbol"/>
        <family val="1"/>
      </rPr>
      <t>e</t>
    </r>
    <r>
      <rPr>
        <vertAlign val="subscript"/>
        <sz val="9"/>
        <rFont val="Arial"/>
        <family val="2"/>
      </rPr>
      <t>cu1</t>
    </r>
  </si>
  <si>
    <r>
      <t>e</t>
    </r>
    <r>
      <rPr>
        <vertAlign val="subscript"/>
        <sz val="9"/>
        <rFont val="Arial"/>
        <family val="2"/>
      </rPr>
      <t>c2</t>
    </r>
    <r>
      <rPr>
        <sz val="9"/>
        <rFont val="Arial"/>
        <family val="2"/>
      </rPr>
      <t xml:space="preserve"> et </t>
    </r>
    <r>
      <rPr>
        <sz val="9"/>
        <rFont val="Symbol"/>
        <family val="1"/>
      </rPr>
      <t>e</t>
    </r>
    <r>
      <rPr>
        <vertAlign val="subscript"/>
        <sz val="9"/>
        <rFont val="Arial"/>
        <family val="2"/>
      </rPr>
      <t>c1</t>
    </r>
  </si>
  <si>
    <r>
      <t>= 1,05(E</t>
    </r>
    <r>
      <rPr>
        <vertAlign val="subscript"/>
        <sz val="9"/>
        <rFont val="Arial"/>
        <family val="2"/>
      </rPr>
      <t>cm</t>
    </r>
    <r>
      <rPr>
        <sz val="9"/>
        <rFont val="Arial"/>
        <family val="0"/>
      </rPr>
      <t>/1,2).</t>
    </r>
    <r>
      <rPr>
        <sz val="9"/>
        <rFont val="Symbol"/>
        <family val="1"/>
      </rPr>
      <t>e</t>
    </r>
    <r>
      <rPr>
        <vertAlign val="subscript"/>
        <sz val="9"/>
        <rFont val="Arial"/>
        <family val="2"/>
      </rPr>
      <t>c1</t>
    </r>
    <r>
      <rPr>
        <sz val="9"/>
        <rFont val="Arial"/>
        <family val="0"/>
      </rPr>
      <t>/f</t>
    </r>
    <r>
      <rPr>
        <vertAlign val="subscript"/>
        <sz val="9"/>
        <rFont val="Arial"/>
        <family val="2"/>
      </rPr>
      <t>cd</t>
    </r>
  </si>
  <si>
    <r>
      <t xml:space="preserve">Résultats pour </t>
    </r>
    <r>
      <rPr>
        <b/>
        <sz val="9"/>
        <rFont val="Symbol"/>
        <family val="1"/>
      </rPr>
      <t>e</t>
    </r>
    <r>
      <rPr>
        <b/>
        <vertAlign val="subscript"/>
        <sz val="9"/>
        <rFont val="Arial"/>
        <family val="2"/>
      </rPr>
      <t>c</t>
    </r>
  </si>
  <si>
    <t>Diagramme parabole-rectangle (P-R) ou Sargin</t>
  </si>
  <si>
    <r>
      <t>e</t>
    </r>
    <r>
      <rPr>
        <vertAlign val="subscript"/>
        <sz val="9"/>
        <rFont val="Arial"/>
        <family val="2"/>
      </rPr>
      <t>ca</t>
    </r>
    <r>
      <rPr>
        <sz val="9"/>
        <rFont val="Arial"/>
        <family val="0"/>
      </rPr>
      <t xml:space="preserve"> </t>
    </r>
    <r>
      <rPr>
        <sz val="9"/>
        <rFont val="Arial Narrow"/>
        <family val="2"/>
      </rPr>
      <t>= raccourcissement du béton à la jonction table-âme si x &gt; h</t>
    </r>
    <r>
      <rPr>
        <vertAlign val="subscript"/>
        <sz val="9"/>
        <rFont val="Arial Narrow"/>
        <family val="2"/>
      </rPr>
      <t>f</t>
    </r>
  </si>
  <si>
    <r>
      <t xml:space="preserve">7 - Moment d'inertie d'une section en Té non fissurée homogénéisée avec </t>
    </r>
    <r>
      <rPr>
        <sz val="9"/>
        <rFont val="Symbol"/>
        <family val="1"/>
      </rPr>
      <t xml:space="preserve">ae </t>
    </r>
    <r>
      <rPr>
        <sz val="9"/>
        <rFont val="Arial"/>
        <family val="2"/>
      </rPr>
      <t>et armatures</t>
    </r>
  </si>
  <si>
    <r>
      <t xml:space="preserve">6 - Moment d'inertie d'une section en Té fissurée homogénéisée avec </t>
    </r>
    <r>
      <rPr>
        <sz val="9"/>
        <rFont val="Symbol"/>
        <family val="1"/>
      </rPr>
      <t>a</t>
    </r>
    <r>
      <rPr>
        <vertAlign val="subscript"/>
        <sz val="9"/>
        <rFont val="Arial"/>
        <family val="2"/>
      </rPr>
      <t>e</t>
    </r>
  </si>
  <si>
    <t>8bis - Travée : épure d'arrêt des barres - Rotations - Flèche - Bielles d'appuis (voir onglet "Epure")</t>
  </si>
  <si>
    <t>tabfck</t>
  </si>
  <si>
    <t>taba</t>
  </si>
  <si>
    <t>exposant parabole</t>
  </si>
  <si>
    <t>MPa ≤ 90</t>
  </si>
  <si>
    <t>sis(es, fyd, euk, ks)</t>
  </si>
  <si>
    <t>sic(ec3, fcd, ec2)</t>
  </si>
  <si>
    <t>fonction de base</t>
  </si>
  <si>
    <t>fonctions appelées</t>
  </si>
  <si>
    <t>contrainte béton</t>
  </si>
  <si>
    <t>coefficient de remplissage</t>
  </si>
  <si>
    <t>sortir un tableau</t>
  </si>
  <si>
    <t>macd(T, n)</t>
  </si>
  <si>
    <t>armature inférieure</t>
  </si>
  <si>
    <t>classe acier</t>
  </si>
  <si>
    <r>
      <t>e</t>
    </r>
    <r>
      <rPr>
        <vertAlign val="subscript"/>
        <sz val="9"/>
        <rFont val="Arial"/>
        <family val="2"/>
      </rPr>
      <t>c1</t>
    </r>
  </si>
  <si>
    <r>
      <t>e</t>
    </r>
    <r>
      <rPr>
        <vertAlign val="subscript"/>
        <sz val="9"/>
        <rFont val="Arial"/>
        <family val="2"/>
      </rPr>
      <t>cu1</t>
    </r>
  </si>
  <si>
    <r>
      <t>z</t>
    </r>
    <r>
      <rPr>
        <vertAlign val="subscript"/>
        <sz val="9"/>
        <rFont val="Arial"/>
        <family val="2"/>
      </rPr>
      <t>c</t>
    </r>
  </si>
  <si>
    <r>
      <t>M</t>
    </r>
    <r>
      <rPr>
        <vertAlign val="subscript"/>
        <sz val="9"/>
        <rFont val="Arial"/>
        <family val="2"/>
      </rPr>
      <t>Rc</t>
    </r>
  </si>
  <si>
    <t>1= P-R, =2=Sargin</t>
  </si>
  <si>
    <t>MNm</t>
  </si>
  <si>
    <t>moment résistant</t>
  </si>
  <si>
    <t>raccourcissement béton</t>
  </si>
  <si>
    <t>d° jonction table-âme</t>
  </si>
  <si>
    <t>allongement acier tendu</t>
  </si>
  <si>
    <t>raccourcissement acier comprimé</t>
  </si>
  <si>
    <t>contrainte acier tendu</t>
  </si>
  <si>
    <t>contrainte acier comprimé</t>
  </si>
  <si>
    <t>résultante compression sur b.x</t>
  </si>
  <si>
    <r>
      <t>résultante béton sur (b-b</t>
    </r>
    <r>
      <rPr>
        <vertAlign val="subscript"/>
        <sz val="9"/>
        <rFont val="Arial"/>
        <family val="2"/>
      </rPr>
      <t>w</t>
    </r>
    <r>
      <rPr>
        <sz val="9"/>
        <rFont val="Arial"/>
        <family val="0"/>
      </rPr>
      <t>)(x-h</t>
    </r>
    <r>
      <rPr>
        <vertAlign val="subscript"/>
        <sz val="9"/>
        <rFont val="Arial"/>
        <family val="2"/>
      </rPr>
      <t>f</t>
    </r>
    <r>
      <rPr>
        <sz val="9"/>
        <rFont val="Arial"/>
        <family val="0"/>
      </rPr>
      <t>)</t>
    </r>
  </si>
  <si>
    <t>résultante acier tendu</t>
  </si>
  <si>
    <t>résultante acier comprimé</t>
  </si>
  <si>
    <t>bras de levier béton comprimé sur b.x</t>
  </si>
  <si>
    <r>
      <t>bras de levier béton sur (b-b</t>
    </r>
    <r>
      <rPr>
        <vertAlign val="subscript"/>
        <sz val="9"/>
        <rFont val="Arial"/>
        <family val="2"/>
      </rPr>
      <t>w</t>
    </r>
    <r>
      <rPr>
        <sz val="9"/>
        <rFont val="Arial"/>
        <family val="2"/>
      </rPr>
      <t>).(x-h</t>
    </r>
    <r>
      <rPr>
        <vertAlign val="subscript"/>
        <sz val="9"/>
        <rFont val="Arial"/>
        <family val="2"/>
      </rPr>
      <t>f</t>
    </r>
    <r>
      <rPr>
        <sz val="9"/>
        <rFont val="Arial"/>
        <family val="2"/>
      </rPr>
      <t>)</t>
    </r>
  </si>
  <si>
    <t>bras de levier acier comprimé</t>
  </si>
  <si>
    <t>moment résistant béton sur b.x</t>
  </si>
  <si>
    <r>
      <t>moment résistant béton sur (b-b</t>
    </r>
    <r>
      <rPr>
        <vertAlign val="subscript"/>
        <sz val="9"/>
        <rFont val="Arial"/>
        <family val="2"/>
      </rPr>
      <t>w</t>
    </r>
    <r>
      <rPr>
        <sz val="9"/>
        <rFont val="Arial"/>
        <family val="2"/>
      </rPr>
      <t>).(x-h</t>
    </r>
    <r>
      <rPr>
        <vertAlign val="subscript"/>
        <sz val="9"/>
        <rFont val="Arial"/>
        <family val="2"/>
      </rPr>
      <t>f</t>
    </r>
    <r>
      <rPr>
        <sz val="9"/>
        <rFont val="Arial"/>
        <family val="2"/>
      </rPr>
      <t>)</t>
    </r>
  </si>
  <si>
    <t>moment résistant acier comprimé</t>
  </si>
  <si>
    <r>
      <t>F</t>
    </r>
    <r>
      <rPr>
        <vertAlign val="subscript"/>
        <sz val="9"/>
        <rFont val="Arial"/>
        <family val="2"/>
      </rPr>
      <t>s</t>
    </r>
    <r>
      <rPr>
        <sz val="9"/>
        <rFont val="Arial"/>
        <family val="2"/>
      </rPr>
      <t xml:space="preserve"> - F</t>
    </r>
    <r>
      <rPr>
        <vertAlign val="subscript"/>
        <sz val="9"/>
        <rFont val="Arial"/>
        <family val="2"/>
      </rPr>
      <t>s1</t>
    </r>
    <r>
      <rPr>
        <sz val="9"/>
        <rFont val="Arial"/>
        <family val="2"/>
      </rPr>
      <t xml:space="preserve"> + F</t>
    </r>
    <r>
      <rPr>
        <vertAlign val="subscript"/>
        <sz val="9"/>
        <rFont val="Arial"/>
        <family val="2"/>
      </rPr>
      <t>c2</t>
    </r>
    <r>
      <rPr>
        <sz val="9"/>
        <rFont val="Arial"/>
        <family val="2"/>
      </rPr>
      <t xml:space="preserve"> =</t>
    </r>
  </si>
  <si>
    <r>
      <t>F</t>
    </r>
    <r>
      <rPr>
        <vertAlign val="subscript"/>
        <sz val="9"/>
        <rFont val="Arial"/>
        <family val="2"/>
      </rPr>
      <t>c</t>
    </r>
    <r>
      <rPr>
        <sz val="9"/>
        <rFont val="Arial"/>
        <family val="2"/>
      </rPr>
      <t xml:space="preserve"> = F</t>
    </r>
    <r>
      <rPr>
        <vertAlign val="subscript"/>
        <sz val="9"/>
        <rFont val="Arial"/>
        <family val="2"/>
      </rPr>
      <t>s</t>
    </r>
    <r>
      <rPr>
        <sz val="9"/>
        <rFont val="Arial"/>
        <family val="2"/>
      </rPr>
      <t xml:space="preserve"> - F</t>
    </r>
    <r>
      <rPr>
        <vertAlign val="subscript"/>
        <sz val="9"/>
        <rFont val="Arial"/>
        <family val="2"/>
      </rPr>
      <t>s1</t>
    </r>
    <r>
      <rPr>
        <sz val="9"/>
        <rFont val="Arial"/>
        <family val="2"/>
      </rPr>
      <t xml:space="preserve"> + F</t>
    </r>
    <r>
      <rPr>
        <vertAlign val="subscript"/>
        <sz val="9"/>
        <rFont val="Arial"/>
        <family val="2"/>
      </rPr>
      <t>c2</t>
    </r>
  </si>
  <si>
    <r>
      <t>M</t>
    </r>
    <r>
      <rPr>
        <vertAlign val="subscript"/>
        <sz val="9"/>
        <rFont val="Arial"/>
        <family val="2"/>
      </rPr>
      <t>Rc1</t>
    </r>
  </si>
  <si>
    <r>
      <t>M</t>
    </r>
    <r>
      <rPr>
        <vertAlign val="subscript"/>
        <sz val="9"/>
        <rFont val="Arial"/>
        <family val="2"/>
      </rPr>
      <t>Rs1</t>
    </r>
  </si>
  <si>
    <t>coefficient de remplissage P-R</t>
  </si>
  <si>
    <t>coefficient de remplissage Sargin</t>
  </si>
  <si>
    <r>
      <t>= A</t>
    </r>
    <r>
      <rPr>
        <vertAlign val="subscript"/>
        <sz val="9"/>
        <rFont val="Arial"/>
        <family val="2"/>
      </rPr>
      <t>inf</t>
    </r>
    <r>
      <rPr>
        <sz val="9"/>
        <rFont val="Arial"/>
        <family val="2"/>
      </rPr>
      <t>/b</t>
    </r>
    <r>
      <rPr>
        <vertAlign val="subscript"/>
        <sz val="9"/>
        <rFont val="Arial"/>
        <family val="2"/>
      </rPr>
      <t>w</t>
    </r>
    <r>
      <rPr>
        <sz val="9"/>
        <rFont val="Arial"/>
        <family val="2"/>
      </rPr>
      <t>.d</t>
    </r>
  </si>
  <si>
    <t>béton Sargin</t>
  </si>
  <si>
    <t>béton P-R</t>
  </si>
  <si>
    <t>béton (&lt;= 50 MPa)</t>
  </si>
  <si>
    <t>armature supérieure</t>
  </si>
  <si>
    <t>armatures tendues</t>
  </si>
  <si>
    <r>
      <t>= A</t>
    </r>
    <r>
      <rPr>
        <vertAlign val="subscript"/>
        <sz val="9"/>
        <rFont val="Arial"/>
        <family val="2"/>
      </rPr>
      <t>inf</t>
    </r>
    <r>
      <rPr>
        <sz val="9"/>
        <rFont val="Arial"/>
        <family val="0"/>
      </rPr>
      <t>/(b.d)</t>
    </r>
  </si>
  <si>
    <t>hauteur béton comprimé</t>
  </si>
  <si>
    <t>bras de levier</t>
  </si>
  <si>
    <t>position relative résultante béton</t>
  </si>
  <si>
    <t>effort traction des armatures tendues</t>
  </si>
  <si>
    <t>effort e ecompression du béton</t>
  </si>
  <si>
    <t>contrainte maximale béton</t>
  </si>
  <si>
    <t>.</t>
  </si>
  <si>
    <r>
      <t>M</t>
    </r>
    <r>
      <rPr>
        <vertAlign val="subscript"/>
        <sz val="9"/>
        <rFont val="Arial"/>
        <family val="2"/>
      </rPr>
      <t>R,max</t>
    </r>
  </si>
  <si>
    <t>moment maximal</t>
  </si>
  <si>
    <r>
      <t>béton (</t>
    </r>
    <r>
      <rPr>
        <sz val="9"/>
        <rFont val="Arial"/>
        <family val="0"/>
      </rPr>
      <t>≤</t>
    </r>
    <r>
      <rPr>
        <sz val="9"/>
        <rFont val="Arial"/>
        <family val="2"/>
      </rPr>
      <t xml:space="preserve"> 50 MPa)</t>
    </r>
  </si>
  <si>
    <r>
      <t>2 - fMRd3 - Moment résistant maximal pour A</t>
    </r>
    <r>
      <rPr>
        <b/>
        <vertAlign val="subscript"/>
        <sz val="9"/>
        <rFont val="Arial"/>
        <family val="2"/>
      </rPr>
      <t>inf</t>
    </r>
    <r>
      <rPr>
        <b/>
        <sz val="9"/>
        <rFont val="Arial"/>
        <family val="2"/>
      </rPr>
      <t xml:space="preserve"> donné et </t>
    </r>
    <r>
      <rPr>
        <b/>
        <sz val="9"/>
        <rFont val="Symbol"/>
        <family val="1"/>
      </rPr>
      <t>e</t>
    </r>
    <r>
      <rPr>
        <b/>
        <vertAlign val="subscript"/>
        <sz val="9"/>
        <rFont val="Arial"/>
        <family val="2"/>
      </rPr>
      <t>s</t>
    </r>
    <r>
      <rPr>
        <b/>
        <sz val="9"/>
        <rFont val="Arial"/>
        <family val="2"/>
      </rPr>
      <t xml:space="preserve"> variant de 0 à </t>
    </r>
    <r>
      <rPr>
        <b/>
        <sz val="9"/>
        <rFont val="Symbol"/>
        <family val="1"/>
      </rPr>
      <t>e</t>
    </r>
    <r>
      <rPr>
        <b/>
        <vertAlign val="subscript"/>
        <sz val="9"/>
        <rFont val="Arial"/>
        <family val="2"/>
      </rPr>
      <t>ud</t>
    </r>
  </si>
  <si>
    <t>coeff.remplissage</t>
  </si>
  <si>
    <t>position résultante béton</t>
  </si>
  <si>
    <t>u</t>
  </si>
  <si>
    <r>
      <t xml:space="preserve">= </t>
    </r>
    <r>
      <rPr>
        <sz val="9"/>
        <rFont val="Symbol"/>
        <family val="1"/>
      </rPr>
      <t>e</t>
    </r>
    <r>
      <rPr>
        <vertAlign val="subscript"/>
        <sz val="9"/>
        <rFont val="Arial"/>
        <family val="2"/>
      </rPr>
      <t>c</t>
    </r>
    <r>
      <rPr>
        <sz val="9"/>
        <rFont val="Arial"/>
        <family val="0"/>
      </rPr>
      <t>/</t>
    </r>
    <r>
      <rPr>
        <sz val="9"/>
        <rFont val="Symbol"/>
        <family val="1"/>
      </rPr>
      <t>e</t>
    </r>
    <r>
      <rPr>
        <vertAlign val="subscript"/>
        <sz val="9"/>
        <rFont val="Arial"/>
        <family val="2"/>
      </rPr>
      <t>c1</t>
    </r>
  </si>
  <si>
    <t>= k-2</t>
  </si>
  <si>
    <r>
      <t>= a.</t>
    </r>
    <r>
      <rPr>
        <sz val="9"/>
        <rFont val="Symbol"/>
        <family val="1"/>
      </rPr>
      <t>h</t>
    </r>
  </si>
  <si>
    <t>= LN(1+u)</t>
  </si>
  <si>
    <r>
      <t>=(1/a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).(u-w)</t>
    </r>
  </si>
  <si>
    <r>
      <t>=(1/a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0"/>
      </rPr>
      <t>).(u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/2-u+w)</t>
    </r>
  </si>
  <si>
    <r>
      <t>=(1/a</t>
    </r>
    <r>
      <rPr>
        <vertAlign val="superscript"/>
        <sz val="9"/>
        <rFont val="Arial"/>
        <family val="2"/>
      </rPr>
      <t>4</t>
    </r>
    <r>
      <rPr>
        <sz val="9"/>
        <rFont val="Arial"/>
        <family val="0"/>
      </rPr>
      <t>).(u</t>
    </r>
    <r>
      <rPr>
        <vertAlign val="superscript"/>
        <sz val="9"/>
        <rFont val="Arial"/>
        <family val="2"/>
      </rPr>
      <t>3</t>
    </r>
    <r>
      <rPr>
        <sz val="9"/>
        <rFont val="Arial"/>
        <family val="0"/>
      </rPr>
      <t>/3-u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/2+u-w)</t>
    </r>
  </si>
  <si>
    <r>
      <t>= k.I</t>
    </r>
    <r>
      <rPr>
        <vertAlign val="subscript"/>
        <sz val="9"/>
        <rFont val="Arial"/>
        <family val="2"/>
      </rPr>
      <t>1</t>
    </r>
    <r>
      <rPr>
        <sz val="9"/>
        <rFont val="Arial"/>
        <family val="0"/>
      </rPr>
      <t>-I</t>
    </r>
    <r>
      <rPr>
        <vertAlign val="subscript"/>
        <sz val="9"/>
        <rFont val="Arial"/>
        <family val="2"/>
      </rPr>
      <t>2</t>
    </r>
  </si>
  <si>
    <r>
      <t>= k.I</t>
    </r>
    <r>
      <rPr>
        <vertAlign val="subscript"/>
        <sz val="9"/>
        <rFont val="Arial"/>
        <family val="2"/>
      </rPr>
      <t>2</t>
    </r>
    <r>
      <rPr>
        <sz val="9"/>
        <rFont val="Arial"/>
        <family val="0"/>
      </rPr>
      <t>-I</t>
    </r>
    <r>
      <rPr>
        <vertAlign val="subscript"/>
        <sz val="9"/>
        <rFont val="Arial"/>
        <family val="2"/>
      </rPr>
      <t>3</t>
    </r>
  </si>
  <si>
    <r>
      <t>= K</t>
    </r>
    <r>
      <rPr>
        <vertAlign val="subscript"/>
        <sz val="9"/>
        <rFont val="Arial"/>
        <family val="2"/>
      </rPr>
      <t>1</t>
    </r>
  </si>
  <si>
    <r>
      <t>= K</t>
    </r>
    <r>
      <rPr>
        <vertAlign val="subscript"/>
        <sz val="9"/>
        <rFont val="Arial"/>
        <family val="2"/>
      </rPr>
      <t>2</t>
    </r>
    <r>
      <rPr>
        <sz val="9"/>
        <rFont val="Arial"/>
        <family val="0"/>
      </rPr>
      <t>/K</t>
    </r>
    <r>
      <rPr>
        <vertAlign val="subscript"/>
        <sz val="9"/>
        <rFont val="Arial"/>
        <family val="2"/>
      </rPr>
      <t>1</t>
    </r>
  </si>
  <si>
    <r>
      <t>I</t>
    </r>
    <r>
      <rPr>
        <vertAlign val="subscript"/>
        <sz val="9"/>
        <rFont val="Arial"/>
        <family val="2"/>
      </rPr>
      <t>1</t>
    </r>
  </si>
  <si>
    <r>
      <t>I</t>
    </r>
    <r>
      <rPr>
        <vertAlign val="subscript"/>
        <sz val="9"/>
        <rFont val="Arial"/>
        <family val="2"/>
      </rPr>
      <t>2</t>
    </r>
  </si>
  <si>
    <r>
      <t>I</t>
    </r>
    <r>
      <rPr>
        <vertAlign val="subscript"/>
        <sz val="9"/>
        <rFont val="Arial"/>
        <family val="2"/>
      </rPr>
      <t>3</t>
    </r>
  </si>
  <si>
    <r>
      <t>J</t>
    </r>
    <r>
      <rPr>
        <vertAlign val="subscript"/>
        <sz val="9"/>
        <rFont val="Arial"/>
        <family val="2"/>
      </rPr>
      <t>1</t>
    </r>
  </si>
  <si>
    <r>
      <t>J</t>
    </r>
    <r>
      <rPr>
        <vertAlign val="subscript"/>
        <sz val="9"/>
        <rFont val="Arial"/>
        <family val="2"/>
      </rPr>
      <t>2</t>
    </r>
  </si>
  <si>
    <r>
      <t>K</t>
    </r>
    <r>
      <rPr>
        <vertAlign val="subscript"/>
        <sz val="9"/>
        <rFont val="Arial"/>
        <family val="2"/>
      </rPr>
      <t>1</t>
    </r>
  </si>
  <si>
    <r>
      <t>K</t>
    </r>
    <r>
      <rPr>
        <vertAlign val="subscript"/>
        <sz val="9"/>
        <rFont val="Arial"/>
        <family val="2"/>
      </rPr>
      <t>2</t>
    </r>
  </si>
  <si>
    <t>PR</t>
  </si>
  <si>
    <t>coeff. remplissage r</t>
  </si>
  <si>
    <t>position relative résult.béton g</t>
  </si>
  <si>
    <r>
      <t>N</t>
    </r>
    <r>
      <rPr>
        <b/>
        <vertAlign val="subscript"/>
        <sz val="9"/>
        <color indexed="12"/>
        <rFont val="Arial"/>
        <family val="2"/>
      </rPr>
      <t>Rd</t>
    </r>
    <r>
      <rPr>
        <b/>
        <sz val="9"/>
        <color indexed="12"/>
        <rFont val="Arial"/>
        <family val="2"/>
      </rPr>
      <t xml:space="preserve"> = r.b.y.f</t>
    </r>
    <r>
      <rPr>
        <b/>
        <vertAlign val="subscript"/>
        <sz val="9"/>
        <color indexed="12"/>
        <rFont val="Arial"/>
        <family val="2"/>
      </rPr>
      <t>cd</t>
    </r>
  </si>
  <si>
    <r>
      <t>M</t>
    </r>
    <r>
      <rPr>
        <b/>
        <vertAlign val="subscript"/>
        <sz val="9"/>
        <color indexed="12"/>
        <rFont val="Arial"/>
        <family val="2"/>
      </rPr>
      <t xml:space="preserve">Rd </t>
    </r>
    <r>
      <rPr>
        <b/>
        <sz val="9"/>
        <color indexed="12"/>
        <rFont val="Arial"/>
        <family val="2"/>
      </rPr>
      <t>= N</t>
    </r>
    <r>
      <rPr>
        <b/>
        <vertAlign val="subscript"/>
        <sz val="9"/>
        <color indexed="12"/>
        <rFont val="Arial"/>
        <family val="2"/>
      </rPr>
      <t>Rd</t>
    </r>
    <r>
      <rPr>
        <b/>
        <sz val="9"/>
        <color indexed="12"/>
        <rFont val="Arial"/>
        <family val="2"/>
      </rPr>
      <t>.(d - g.y)</t>
    </r>
  </si>
  <si>
    <t xml:space="preserve">Pour un raccourcissement </t>
  </si>
  <si>
    <r>
      <t xml:space="preserve">en fibre supérieure </t>
    </r>
    <r>
      <rPr>
        <sz val="9"/>
        <rFont val="Symbol"/>
        <family val="1"/>
      </rPr>
      <t>e</t>
    </r>
    <r>
      <rPr>
        <vertAlign val="subscript"/>
        <sz val="9"/>
        <rFont val="Arial Narrow"/>
        <family val="2"/>
      </rPr>
      <t>c</t>
    </r>
  </si>
  <si>
    <r>
      <t>r = fKa(</t>
    </r>
    <r>
      <rPr>
        <sz val="9"/>
        <color indexed="12"/>
        <rFont val="Symbol"/>
        <family val="1"/>
      </rPr>
      <t>e</t>
    </r>
    <r>
      <rPr>
        <vertAlign val="subscript"/>
        <sz val="9"/>
        <color indexed="12"/>
        <rFont val="Arial"/>
        <family val="2"/>
      </rPr>
      <t>c</t>
    </r>
    <r>
      <rPr>
        <sz val="9"/>
        <color indexed="12"/>
        <rFont val="Arial"/>
        <family val="0"/>
      </rPr>
      <t xml:space="preserve">, </t>
    </r>
    <r>
      <rPr>
        <sz val="9"/>
        <color indexed="12"/>
        <rFont val="Symbol"/>
        <family val="1"/>
      </rPr>
      <t>e</t>
    </r>
    <r>
      <rPr>
        <vertAlign val="subscript"/>
        <sz val="9"/>
        <color indexed="12"/>
        <rFont val="Arial"/>
        <family val="2"/>
      </rPr>
      <t>c1,</t>
    </r>
    <r>
      <rPr>
        <sz val="9"/>
        <color indexed="12"/>
        <rFont val="Arial"/>
        <family val="0"/>
      </rPr>
      <t xml:space="preserve"> k</t>
    </r>
    <r>
      <rPr>
        <vertAlign val="subscript"/>
        <sz val="9"/>
        <color indexed="12"/>
        <rFont val="Arial"/>
        <family val="2"/>
      </rPr>
      <t>c</t>
    </r>
    <r>
      <rPr>
        <sz val="9"/>
        <color indexed="12"/>
        <rFont val="Arial"/>
        <family val="0"/>
      </rPr>
      <t>, 1</t>
    </r>
  </si>
  <si>
    <r>
      <t>g = fKa(</t>
    </r>
    <r>
      <rPr>
        <sz val="9"/>
        <color indexed="12"/>
        <rFont val="Symbol"/>
        <family val="1"/>
      </rPr>
      <t>e</t>
    </r>
    <r>
      <rPr>
        <vertAlign val="subscript"/>
        <sz val="9"/>
        <color indexed="12"/>
        <rFont val="Arial"/>
        <family val="2"/>
      </rPr>
      <t>c</t>
    </r>
    <r>
      <rPr>
        <sz val="9"/>
        <color indexed="12"/>
        <rFont val="Arial"/>
        <family val="0"/>
      </rPr>
      <t xml:space="preserve">, </t>
    </r>
    <r>
      <rPr>
        <sz val="9"/>
        <color indexed="12"/>
        <rFont val="Symbol"/>
        <family val="1"/>
      </rPr>
      <t>e</t>
    </r>
    <r>
      <rPr>
        <vertAlign val="subscript"/>
        <sz val="9"/>
        <color indexed="12"/>
        <rFont val="Arial"/>
        <family val="2"/>
      </rPr>
      <t>c1,</t>
    </r>
    <r>
      <rPr>
        <sz val="9"/>
        <color indexed="12"/>
        <rFont val="Arial"/>
        <family val="0"/>
      </rPr>
      <t xml:space="preserve"> k</t>
    </r>
    <r>
      <rPr>
        <vertAlign val="subscript"/>
        <sz val="9"/>
        <color indexed="12"/>
        <rFont val="Arial"/>
        <family val="2"/>
      </rPr>
      <t>c</t>
    </r>
    <r>
      <rPr>
        <sz val="9"/>
        <color indexed="12"/>
        <rFont val="Arial"/>
        <family val="0"/>
      </rPr>
      <t>, 2)</t>
    </r>
  </si>
  <si>
    <t>fMRd52(MEd, Acinf, Acsup, fyd, ks, euk, b, h, d, fcd, ec2, ecu2, n)</t>
  </si>
  <si>
    <t>% acier</t>
  </si>
  <si>
    <t>diagramme P-R</t>
  </si>
  <si>
    <r>
      <t xml:space="preserve">5 - Calcul de </t>
    </r>
    <r>
      <rPr>
        <b/>
        <sz val="9"/>
        <rFont val="Symbol"/>
        <family val="1"/>
      </rPr>
      <t>e</t>
    </r>
    <r>
      <rPr>
        <b/>
        <vertAlign val="subscript"/>
        <sz val="9"/>
        <rFont val="Arial"/>
        <family val="2"/>
      </rPr>
      <t>c</t>
    </r>
    <r>
      <rPr>
        <b/>
        <sz val="9"/>
        <rFont val="Arial"/>
        <family val="2"/>
      </rPr>
      <t xml:space="preserve">, </t>
    </r>
    <r>
      <rPr>
        <b/>
        <sz val="9"/>
        <rFont val="Symbol"/>
        <family val="1"/>
      </rPr>
      <t>e</t>
    </r>
    <r>
      <rPr>
        <b/>
        <vertAlign val="subscript"/>
        <sz val="9"/>
        <rFont val="Arial"/>
        <family val="2"/>
      </rPr>
      <t>s</t>
    </r>
    <r>
      <rPr>
        <b/>
        <sz val="9"/>
        <rFont val="Arial"/>
        <family val="2"/>
      </rPr>
      <t xml:space="preserve">, </t>
    </r>
    <r>
      <rPr>
        <b/>
        <sz val="9"/>
        <rFont val="Symbol"/>
        <family val="1"/>
      </rPr>
      <t>e</t>
    </r>
    <r>
      <rPr>
        <b/>
        <vertAlign val="subscript"/>
        <sz val="9"/>
        <rFont val="Arial"/>
        <family val="2"/>
      </rPr>
      <t>h</t>
    </r>
    <r>
      <rPr>
        <b/>
        <sz val="9"/>
        <rFont val="Arial"/>
        <family val="2"/>
      </rPr>
      <t xml:space="preserve"> et </t>
    </r>
    <r>
      <rPr>
        <b/>
        <sz val="9"/>
        <rFont val="Symbol"/>
        <family val="1"/>
      </rPr>
      <t>e</t>
    </r>
    <r>
      <rPr>
        <b/>
        <vertAlign val="subscript"/>
        <sz val="9"/>
        <rFont val="Arial"/>
        <family val="2"/>
      </rPr>
      <t>b</t>
    </r>
    <r>
      <rPr>
        <b/>
        <sz val="9"/>
        <rFont val="Arial"/>
        <family val="2"/>
      </rPr>
      <t xml:space="preserve"> en fonction de M</t>
    </r>
    <r>
      <rPr>
        <b/>
        <vertAlign val="subscript"/>
        <sz val="9"/>
        <rFont val="Arial"/>
        <family val="2"/>
      </rPr>
      <t>Ed</t>
    </r>
    <r>
      <rPr>
        <b/>
        <sz val="9"/>
        <rFont val="Arial"/>
        <family val="2"/>
      </rPr>
      <t>, A</t>
    </r>
    <r>
      <rPr>
        <b/>
        <vertAlign val="subscript"/>
        <sz val="9"/>
        <rFont val="Arial"/>
        <family val="2"/>
      </rPr>
      <t xml:space="preserve">inf </t>
    </r>
    <r>
      <rPr>
        <b/>
        <sz val="9"/>
        <rFont val="Arial"/>
        <family val="2"/>
      </rPr>
      <t>et A</t>
    </r>
    <r>
      <rPr>
        <b/>
        <vertAlign val="subscript"/>
        <sz val="9"/>
        <rFont val="Arial"/>
        <family val="2"/>
      </rPr>
      <t>sup</t>
    </r>
  </si>
  <si>
    <t>frgn(ec3, ec2, ecu2, n, code)</t>
  </si>
  <si>
    <t>fMRd4(es, Ac, fyd, ks, euk, b, d, fcd, ec2, ecu2, n)</t>
  </si>
  <si>
    <t>fMRd3(Ac, fyd, ks, euk, b, d, fcd, ecu2, ec2, n)</t>
  </si>
  <si>
    <t>fMkk2(kk, nap, tLn, tL, tg, tp, tEI, tap, th, tMR, kkr, code)</t>
  </si>
  <si>
    <t>fcch(k, na, gg, gq, tabg, tabq)</t>
  </si>
  <si>
    <t>fMx(x, L, p, Mg, Md)</t>
  </si>
  <si>
    <t>moment à l'abscisse x</t>
  </si>
  <si>
    <r>
      <t>A</t>
    </r>
    <r>
      <rPr>
        <vertAlign val="subscript"/>
        <sz val="9"/>
        <rFont val="Arial"/>
        <family val="2"/>
      </rPr>
      <t>s</t>
    </r>
    <r>
      <rPr>
        <sz val="9"/>
        <rFont val="Arial"/>
        <family val="2"/>
      </rPr>
      <t xml:space="preserve"> rectangulaire simplifié section rectangulaire</t>
    </r>
  </si>
  <si>
    <r>
      <t>A</t>
    </r>
    <r>
      <rPr>
        <vertAlign val="subscript"/>
        <sz val="9"/>
        <rFont val="Arial"/>
        <family val="2"/>
      </rPr>
      <t>s</t>
    </r>
    <r>
      <rPr>
        <sz val="9"/>
        <rFont val="Arial"/>
        <family val="2"/>
      </rPr>
      <t xml:space="preserve"> parabole-rectangle section rectangulaire</t>
    </r>
  </si>
  <si>
    <r>
      <t>A</t>
    </r>
    <r>
      <rPr>
        <vertAlign val="subscript"/>
        <sz val="9"/>
        <rFont val="Arial"/>
        <family val="2"/>
      </rPr>
      <t>s</t>
    </r>
    <r>
      <rPr>
        <sz val="9"/>
        <rFont val="Arial"/>
        <family val="2"/>
      </rPr>
      <t xml:space="preserve"> Sargin section rectangulaire</t>
    </r>
  </si>
  <si>
    <t>voir liste ci-dessus</t>
  </si>
  <si>
    <t>paramètree de ductilité acier</t>
  </si>
  <si>
    <t>paramètre ductilité acier</t>
  </si>
  <si>
    <t>pour</t>
  </si>
  <si>
    <t xml:space="preserve">Voir "Conception et calcul des structures de bâtiment" </t>
  </si>
  <si>
    <t>H. Thonier- Tome 7 - Eurocode 2 pratique</t>
  </si>
  <si>
    <t>Annexe1 du chapitre 3</t>
  </si>
  <si>
    <t>GPa</t>
  </si>
  <si>
    <r>
      <t xml:space="preserve">pour </t>
    </r>
    <r>
      <rPr>
        <sz val="9"/>
        <rFont val="Symbol"/>
        <family val="1"/>
      </rPr>
      <t>e</t>
    </r>
    <r>
      <rPr>
        <vertAlign val="subscript"/>
        <sz val="9"/>
        <rFont val="Arial"/>
        <family val="2"/>
      </rPr>
      <t xml:space="preserve">c </t>
    </r>
    <r>
      <rPr>
        <sz val="9"/>
        <rFont val="Arial"/>
        <family val="0"/>
      </rPr>
      <t>=</t>
    </r>
  </si>
  <si>
    <r>
      <t>I</t>
    </r>
    <r>
      <rPr>
        <vertAlign val="subscript"/>
        <sz val="9"/>
        <rFont val="Arial"/>
        <family val="2"/>
      </rPr>
      <t>4</t>
    </r>
  </si>
  <si>
    <r>
      <t>=(1/a</t>
    </r>
    <r>
      <rPr>
        <vertAlign val="superscript"/>
        <sz val="9"/>
        <rFont val="Arial"/>
        <family val="2"/>
      </rPr>
      <t>5</t>
    </r>
    <r>
      <rPr>
        <sz val="9"/>
        <rFont val="Arial"/>
        <family val="0"/>
      </rPr>
      <t>).(u</t>
    </r>
    <r>
      <rPr>
        <vertAlign val="superscript"/>
        <sz val="9"/>
        <rFont val="Arial"/>
        <family val="2"/>
      </rPr>
      <t>4</t>
    </r>
    <r>
      <rPr>
        <sz val="9"/>
        <rFont val="Arial"/>
        <family val="0"/>
      </rPr>
      <t>/4-u</t>
    </r>
    <r>
      <rPr>
        <vertAlign val="superscript"/>
        <sz val="9"/>
        <rFont val="Arial"/>
        <family val="2"/>
      </rPr>
      <t>3</t>
    </r>
    <r>
      <rPr>
        <sz val="9"/>
        <rFont val="Arial"/>
        <family val="0"/>
      </rPr>
      <t>/3+u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/2-u+w)</t>
    </r>
  </si>
  <si>
    <r>
      <t>J</t>
    </r>
    <r>
      <rPr>
        <vertAlign val="subscript"/>
        <sz val="9"/>
        <rFont val="Arial"/>
        <family val="2"/>
      </rPr>
      <t>3</t>
    </r>
  </si>
  <si>
    <r>
      <t>= k.I</t>
    </r>
    <r>
      <rPr>
        <vertAlign val="subscript"/>
        <sz val="9"/>
        <rFont val="Arial"/>
        <family val="2"/>
      </rPr>
      <t>3</t>
    </r>
    <r>
      <rPr>
        <sz val="9"/>
        <rFont val="Arial"/>
        <family val="0"/>
      </rPr>
      <t>-I</t>
    </r>
    <r>
      <rPr>
        <vertAlign val="subscript"/>
        <sz val="9"/>
        <rFont val="Arial"/>
        <family val="2"/>
      </rPr>
      <t>4</t>
    </r>
  </si>
  <si>
    <r>
      <t>= (1/</t>
    </r>
    <r>
      <rPr>
        <sz val="9"/>
        <rFont val="Symbol"/>
        <family val="1"/>
      </rPr>
      <t>h</t>
    </r>
    <r>
      <rPr>
        <sz val="9"/>
        <rFont val="Arial"/>
        <family val="0"/>
      </rPr>
      <t>).J</t>
    </r>
    <r>
      <rPr>
        <vertAlign val="subscript"/>
        <sz val="9"/>
        <rFont val="Arial"/>
        <family val="2"/>
      </rPr>
      <t>1</t>
    </r>
  </si>
  <si>
    <r>
      <t>= K</t>
    </r>
    <r>
      <rPr>
        <vertAlign val="subscript"/>
        <sz val="9"/>
        <rFont val="Arial"/>
        <family val="2"/>
      </rPr>
      <t>1</t>
    </r>
    <r>
      <rPr>
        <sz val="9"/>
        <rFont val="Arial"/>
        <family val="0"/>
      </rPr>
      <t>-(1/</t>
    </r>
    <r>
      <rPr>
        <sz val="9"/>
        <rFont val="Symbol"/>
        <family val="1"/>
      </rPr>
      <t>h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).J</t>
    </r>
    <r>
      <rPr>
        <vertAlign val="subscript"/>
        <sz val="9"/>
        <rFont val="Arial"/>
        <family val="2"/>
      </rPr>
      <t>2</t>
    </r>
  </si>
  <si>
    <r>
      <t>K</t>
    </r>
    <r>
      <rPr>
        <vertAlign val="subscript"/>
        <sz val="9"/>
        <rFont val="Arial"/>
        <family val="2"/>
      </rPr>
      <t>3</t>
    </r>
  </si>
  <si>
    <r>
      <t>K</t>
    </r>
    <r>
      <rPr>
        <vertAlign val="subscript"/>
        <sz val="9"/>
        <rFont val="Arial"/>
        <family val="2"/>
      </rPr>
      <t>4</t>
    </r>
  </si>
  <si>
    <r>
      <t>= (1/</t>
    </r>
    <r>
      <rPr>
        <sz val="9"/>
        <rFont val="Symbol"/>
        <family val="1"/>
      </rPr>
      <t>h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).J</t>
    </r>
    <r>
      <rPr>
        <vertAlign val="subscript"/>
        <sz val="9"/>
        <rFont val="Arial"/>
        <family val="2"/>
      </rPr>
      <t>2</t>
    </r>
  </si>
  <si>
    <r>
      <t>= K</t>
    </r>
    <r>
      <rPr>
        <vertAlign val="subscript"/>
        <sz val="9"/>
        <rFont val="Arial"/>
        <family val="2"/>
      </rPr>
      <t>3</t>
    </r>
    <r>
      <rPr>
        <sz val="9"/>
        <rFont val="Arial"/>
        <family val="0"/>
      </rPr>
      <t>-(1/</t>
    </r>
    <r>
      <rPr>
        <sz val="9"/>
        <rFont val="Symbol"/>
        <family val="1"/>
      </rPr>
      <t>h</t>
    </r>
    <r>
      <rPr>
        <vertAlign val="superscript"/>
        <sz val="9"/>
        <rFont val="Arial"/>
        <family val="2"/>
      </rPr>
      <t>3</t>
    </r>
    <r>
      <rPr>
        <sz val="9"/>
        <rFont val="Arial"/>
        <family val="0"/>
      </rPr>
      <t>).J</t>
    </r>
    <r>
      <rPr>
        <vertAlign val="subscript"/>
        <sz val="9"/>
        <rFont val="Arial"/>
        <family val="2"/>
      </rPr>
      <t>3</t>
    </r>
  </si>
  <si>
    <t>Equation 3.14</t>
  </si>
  <si>
    <t>Equation 3.17</t>
  </si>
  <si>
    <r>
      <t xml:space="preserve">= </t>
    </r>
    <r>
      <rPr>
        <sz val="9"/>
        <rFont val="Symbol"/>
        <family val="1"/>
      </rPr>
      <t>e</t>
    </r>
    <r>
      <rPr>
        <vertAlign val="subscript"/>
        <sz val="9"/>
        <rFont val="Arial"/>
        <family val="2"/>
      </rPr>
      <t>c</t>
    </r>
    <r>
      <rPr>
        <sz val="9"/>
        <rFont val="Arial"/>
        <family val="0"/>
      </rPr>
      <t>/</t>
    </r>
    <r>
      <rPr>
        <sz val="9"/>
        <rFont val="Symbol"/>
        <family val="1"/>
      </rPr>
      <t>e</t>
    </r>
    <r>
      <rPr>
        <vertAlign val="subscript"/>
        <sz val="9"/>
        <rFont val="Arial"/>
        <family val="2"/>
      </rPr>
      <t>c2</t>
    </r>
  </si>
  <si>
    <t>frgn(ec3, ec2, n, code)</t>
  </si>
  <si>
    <t>frgn(ec3, ec2, code)</t>
  </si>
  <si>
    <r>
      <t>r = frgn(</t>
    </r>
    <r>
      <rPr>
        <sz val="9"/>
        <color indexed="12"/>
        <rFont val="Symbol"/>
        <family val="1"/>
      </rPr>
      <t>e</t>
    </r>
    <r>
      <rPr>
        <vertAlign val="subscript"/>
        <sz val="9"/>
        <color indexed="12"/>
        <rFont val="Arial"/>
        <family val="2"/>
      </rPr>
      <t>c</t>
    </r>
    <r>
      <rPr>
        <sz val="9"/>
        <color indexed="12"/>
        <rFont val="Arial"/>
        <family val="0"/>
      </rPr>
      <t xml:space="preserve">, </t>
    </r>
    <r>
      <rPr>
        <sz val="9"/>
        <color indexed="12"/>
        <rFont val="Symbol"/>
        <family val="1"/>
      </rPr>
      <t>e</t>
    </r>
    <r>
      <rPr>
        <vertAlign val="subscript"/>
        <sz val="9"/>
        <color indexed="12"/>
        <rFont val="Arial"/>
        <family val="2"/>
      </rPr>
      <t>c2</t>
    </r>
    <r>
      <rPr>
        <sz val="9"/>
        <color indexed="12"/>
        <rFont val="Arial"/>
        <family val="0"/>
      </rPr>
      <t>,</t>
    </r>
    <r>
      <rPr>
        <sz val="9"/>
        <color indexed="12"/>
        <rFont val="Arial"/>
        <family val="0"/>
      </rPr>
      <t xml:space="preserve"> n, 1)</t>
    </r>
  </si>
  <si>
    <r>
      <t>g = frgn(</t>
    </r>
    <r>
      <rPr>
        <sz val="9"/>
        <color indexed="12"/>
        <rFont val="Symbol"/>
        <family val="1"/>
      </rPr>
      <t>e</t>
    </r>
    <r>
      <rPr>
        <vertAlign val="subscript"/>
        <sz val="9"/>
        <color indexed="12"/>
        <rFont val="Arial"/>
        <family val="2"/>
      </rPr>
      <t>c</t>
    </r>
    <r>
      <rPr>
        <sz val="9"/>
        <color indexed="12"/>
        <rFont val="Arial"/>
        <family val="0"/>
      </rPr>
      <t xml:space="preserve">, </t>
    </r>
    <r>
      <rPr>
        <sz val="9"/>
        <color indexed="12"/>
        <rFont val="Symbol"/>
        <family val="1"/>
      </rPr>
      <t>e</t>
    </r>
    <r>
      <rPr>
        <vertAlign val="subscript"/>
        <sz val="9"/>
        <color indexed="12"/>
        <rFont val="Arial"/>
        <family val="2"/>
      </rPr>
      <t>c2</t>
    </r>
    <r>
      <rPr>
        <sz val="9"/>
        <color indexed="12"/>
        <rFont val="Arial"/>
        <family val="0"/>
      </rPr>
      <t>,</t>
    </r>
    <r>
      <rPr>
        <sz val="9"/>
        <color indexed="12"/>
        <rFont val="Arial"/>
        <family val="0"/>
      </rPr>
      <t xml:space="preserve"> n, 2)</t>
    </r>
  </si>
  <si>
    <t>P-R (Simpson)</t>
  </si>
  <si>
    <t>Sargin (intégr.num.)</t>
  </si>
  <si>
    <t>fMRx(Aci, Acs, fyd, ks, euk, b, bww, hf, d, dp, fcd, ecc2, ecu2, ecc1, ecu1, kc, dia, nex)</t>
  </si>
  <si>
    <t>sicg(ec, fcd, dia, ec1, ec2, kc, nex)</t>
  </si>
  <si>
    <t>fNRMR1(e0, ec2, nex, code)</t>
  </si>
  <si>
    <t>fraction de parabole</t>
  </si>
  <si>
    <t>fNM(ec, es, Aci, Acs, fyd, ks, euk, b, bww, hf, d, dp, fcd, ecc2, ecu2, ecc1, ecu1, kc, dia, nex, code)</t>
  </si>
  <si>
    <r>
      <t>M</t>
    </r>
    <r>
      <rPr>
        <vertAlign val="subscript"/>
        <sz val="9"/>
        <rFont val="Arial"/>
        <family val="2"/>
      </rPr>
      <t>Rd</t>
    </r>
    <r>
      <rPr>
        <sz val="9"/>
        <rFont val="Arial"/>
        <family val="0"/>
      </rPr>
      <t>, y pour e</t>
    </r>
    <r>
      <rPr>
        <vertAlign val="subscript"/>
        <sz val="9"/>
        <rFont val="Symbol"/>
        <family val="1"/>
      </rPr>
      <t>c</t>
    </r>
    <r>
      <rPr>
        <sz val="9"/>
        <rFont val="Arial"/>
        <family val="0"/>
      </rPr>
      <t xml:space="preserve"> et </t>
    </r>
    <r>
      <rPr>
        <sz val="9"/>
        <rFont val="Symbol"/>
        <family val="1"/>
      </rPr>
      <t>e</t>
    </r>
    <r>
      <rPr>
        <vertAlign val="subscript"/>
        <sz val="9"/>
        <rFont val="Arial"/>
        <family val="2"/>
      </rPr>
      <t>s</t>
    </r>
    <r>
      <rPr>
        <sz val="9"/>
        <rFont val="Arial"/>
        <family val="0"/>
      </rPr>
      <t xml:space="preserve"> donnés</t>
    </r>
  </si>
  <si>
    <t>function fMRx()</t>
  </si>
  <si>
    <t>axe neutre</t>
  </si>
  <si>
    <t>diagramme parabole-rectangle ou Sargin</t>
  </si>
  <si>
    <t>fibre neutre</t>
  </si>
  <si>
    <t>allongement acier</t>
  </si>
  <si>
    <r>
      <t>M</t>
    </r>
    <r>
      <rPr>
        <vertAlign val="subscript"/>
        <sz val="9"/>
        <rFont val="Arial"/>
        <family val="2"/>
      </rPr>
      <t>R</t>
    </r>
    <r>
      <rPr>
        <sz val="9"/>
        <rFont val="Arial"/>
        <family val="0"/>
      </rPr>
      <t>(</t>
    </r>
    <r>
      <rPr>
        <sz val="9"/>
        <rFont val="Symbol"/>
        <family val="1"/>
      </rPr>
      <t>e</t>
    </r>
    <r>
      <rPr>
        <vertAlign val="subscript"/>
        <sz val="9"/>
        <rFont val="Arial"/>
        <family val="2"/>
      </rPr>
      <t>sy</t>
    </r>
    <r>
      <rPr>
        <sz val="9"/>
        <rFont val="Arial"/>
        <family val="0"/>
      </rPr>
      <t>)</t>
    </r>
  </si>
  <si>
    <r>
      <t>M</t>
    </r>
    <r>
      <rPr>
        <vertAlign val="subscript"/>
        <sz val="9"/>
        <rFont val="Arial"/>
        <family val="2"/>
      </rPr>
      <t>R</t>
    </r>
    <r>
      <rPr>
        <sz val="9"/>
        <rFont val="Arial"/>
        <family val="0"/>
      </rPr>
      <t>(</t>
    </r>
    <r>
      <rPr>
        <sz val="9"/>
        <rFont val="Symbol"/>
        <family val="1"/>
      </rPr>
      <t>e</t>
    </r>
    <r>
      <rPr>
        <vertAlign val="subscript"/>
        <sz val="9"/>
        <rFont val="Arial"/>
        <family val="2"/>
      </rPr>
      <t>sy</t>
    </r>
    <r>
      <rPr>
        <sz val="9"/>
        <rFont val="Arial"/>
        <family val="0"/>
      </rPr>
      <t>)/M</t>
    </r>
    <r>
      <rPr>
        <vertAlign val="subscript"/>
        <sz val="9"/>
        <rFont val="Arial"/>
        <family val="2"/>
      </rPr>
      <t>R,max</t>
    </r>
  </si>
  <si>
    <r>
      <t>e</t>
    </r>
    <r>
      <rPr>
        <vertAlign val="subscript"/>
        <sz val="9"/>
        <rFont val="Arial"/>
        <family val="2"/>
      </rPr>
      <t>sy</t>
    </r>
  </si>
  <si>
    <r>
      <rPr>
        <sz val="9"/>
        <rFont val="Arial Narrow"/>
        <family val="2"/>
      </rPr>
      <t>moment pour</t>
    </r>
    <r>
      <rPr>
        <sz val="9"/>
        <rFont val="Arial"/>
        <family val="2"/>
      </rPr>
      <t xml:space="preserve"> </t>
    </r>
    <r>
      <rPr>
        <sz val="9"/>
        <rFont val="Symbol"/>
        <family val="1"/>
      </rPr>
      <t>e</t>
    </r>
    <r>
      <rPr>
        <vertAlign val="subscript"/>
        <sz val="9"/>
        <rFont val="Arial"/>
        <family val="2"/>
      </rPr>
      <t>sy</t>
    </r>
    <r>
      <rPr>
        <sz val="9"/>
        <rFont val="Arial"/>
        <family val="2"/>
      </rPr>
      <t xml:space="preserve"> = f</t>
    </r>
    <r>
      <rPr>
        <vertAlign val="subscript"/>
        <sz val="9"/>
        <rFont val="Arial"/>
        <family val="2"/>
      </rPr>
      <t>yk</t>
    </r>
    <r>
      <rPr>
        <sz val="9"/>
        <rFont val="Arial"/>
        <family val="2"/>
      </rPr>
      <t>/E</t>
    </r>
    <r>
      <rPr>
        <vertAlign val="subscript"/>
        <sz val="9"/>
        <rFont val="Arial"/>
        <family val="2"/>
      </rPr>
      <t>s</t>
    </r>
  </si>
  <si>
    <r>
      <t>= E</t>
    </r>
    <r>
      <rPr>
        <vertAlign val="subscript"/>
        <sz val="9"/>
        <rFont val="Arial"/>
        <family val="2"/>
      </rPr>
      <t>s</t>
    </r>
    <r>
      <rPr>
        <sz val="9"/>
        <rFont val="Arial"/>
        <family val="0"/>
      </rPr>
      <t>/E</t>
    </r>
    <r>
      <rPr>
        <vertAlign val="subscript"/>
        <sz val="9"/>
        <rFont val="Arial"/>
        <family val="2"/>
      </rPr>
      <t>c</t>
    </r>
  </si>
  <si>
    <t>largeur de l'âme</t>
  </si>
  <si>
    <t>hauteur de la table</t>
  </si>
  <si>
    <t>hauteur utile arm.sup.</t>
  </si>
  <si>
    <t>hauteur utile arm.inf.</t>
  </si>
  <si>
    <t>section arm. sup.</t>
  </si>
  <si>
    <t>section arm. inf.</t>
  </si>
  <si>
    <t>fNRMR(eh, eb, ec1, ecu1, b, h, fcd, k, code)</t>
  </si>
  <si>
    <t>fIJ(eta, k, code)</t>
  </si>
  <si>
    <t>10 - Section entièrement comprimée- Coefficient de remplissage et position de la résultante de compression</t>
  </si>
  <si>
    <t>4 - Section partiellement comprimée - Coefficient de remplissage et position de la résultante de compression</t>
  </si>
  <si>
    <t>Diagramme de Sargin</t>
  </si>
  <si>
    <r>
      <t>= f</t>
    </r>
    <r>
      <rPr>
        <vertAlign val="subscript"/>
        <sz val="9"/>
        <rFont val="Arial"/>
        <family val="2"/>
      </rPr>
      <t>ck</t>
    </r>
    <r>
      <rPr>
        <sz val="9"/>
        <rFont val="Arial"/>
        <family val="0"/>
      </rPr>
      <t>/</t>
    </r>
    <r>
      <rPr>
        <sz val="9"/>
        <rFont val="Symbol"/>
        <family val="1"/>
      </rPr>
      <t>g</t>
    </r>
    <r>
      <rPr>
        <vertAlign val="subscript"/>
        <sz val="9"/>
        <rFont val="Arial"/>
        <family val="2"/>
      </rPr>
      <t>C</t>
    </r>
  </si>
  <si>
    <t>Tab. 3.1</t>
  </si>
  <si>
    <t>largeur de la section</t>
  </si>
  <si>
    <t>hauteur de la section</t>
  </si>
  <si>
    <t>raccourcissement maximal</t>
  </si>
  <si>
    <t>raccourcissement minimal</t>
  </si>
  <si>
    <t>résistance béton</t>
  </si>
  <si>
    <t>coefficient béton</t>
  </si>
  <si>
    <t>moment/fibre supérieure</t>
  </si>
  <si>
    <t>moment/milieu section</t>
  </si>
  <si>
    <t>effort normal résistant béton</t>
  </si>
  <si>
    <r>
      <t>= N</t>
    </r>
    <r>
      <rPr>
        <vertAlign val="subscript"/>
        <sz val="9"/>
        <rFont val="Arial"/>
        <family val="2"/>
      </rPr>
      <t>R</t>
    </r>
    <r>
      <rPr>
        <sz val="9"/>
        <rFont val="Arial"/>
        <family val="0"/>
      </rPr>
      <t>/(b.h.f</t>
    </r>
    <r>
      <rPr>
        <vertAlign val="subscript"/>
        <sz val="9"/>
        <rFont val="Arial"/>
        <family val="2"/>
      </rPr>
      <t>cd</t>
    </r>
    <r>
      <rPr>
        <sz val="9"/>
        <rFont val="Arial"/>
        <family val="0"/>
      </rPr>
      <t>)</t>
    </r>
  </si>
  <si>
    <r>
      <t>= 0,5-M</t>
    </r>
    <r>
      <rPr>
        <vertAlign val="subscript"/>
        <sz val="9"/>
        <rFont val="Arial"/>
        <family val="2"/>
      </rPr>
      <t>R</t>
    </r>
    <r>
      <rPr>
        <sz val="9"/>
        <rFont val="Arial"/>
        <family val="0"/>
      </rPr>
      <t>/(N</t>
    </r>
    <r>
      <rPr>
        <vertAlign val="subscript"/>
        <sz val="9"/>
        <rFont val="Arial"/>
        <family val="2"/>
      </rPr>
      <t>R</t>
    </r>
    <r>
      <rPr>
        <sz val="9"/>
        <rFont val="Arial"/>
        <family val="0"/>
      </rPr>
      <t>.h)</t>
    </r>
  </si>
  <si>
    <t>position relative de la résultante</t>
  </si>
  <si>
    <r>
      <t>M</t>
    </r>
    <r>
      <rPr>
        <vertAlign val="subscript"/>
        <sz val="9"/>
        <rFont val="Arial"/>
        <family val="2"/>
      </rPr>
      <t xml:space="preserve">Rh </t>
    </r>
    <r>
      <rPr>
        <sz val="9"/>
        <rFont val="Arial"/>
        <family val="2"/>
      </rPr>
      <t>= N</t>
    </r>
    <r>
      <rPr>
        <vertAlign val="subscript"/>
        <sz val="9"/>
        <rFont val="Arial"/>
        <family val="2"/>
      </rPr>
      <t>R</t>
    </r>
    <r>
      <rPr>
        <sz val="9"/>
        <rFont val="Arial"/>
        <family val="2"/>
      </rPr>
      <t>.g.h</t>
    </r>
  </si>
  <si>
    <r>
      <t>M</t>
    </r>
    <r>
      <rPr>
        <vertAlign val="subscript"/>
        <sz val="9"/>
        <rFont val="Arial"/>
        <family val="2"/>
      </rPr>
      <t xml:space="preserve">R </t>
    </r>
    <r>
      <rPr>
        <sz val="9"/>
        <rFont val="Arial"/>
        <family val="2"/>
      </rPr>
      <t>= N</t>
    </r>
    <r>
      <rPr>
        <vertAlign val="subscript"/>
        <sz val="9"/>
        <rFont val="Arial"/>
        <family val="2"/>
      </rPr>
      <t>R</t>
    </r>
    <r>
      <rPr>
        <sz val="9"/>
        <rFont val="Arial"/>
        <family val="2"/>
      </rPr>
      <t>.(h/2 - g.h)</t>
    </r>
  </si>
  <si>
    <t>intégrales J1, J2,</t>
  </si>
  <si>
    <t>(voir Conception et Calcul … H.. Thonier - Tome 7 - Annexe au chapitre 1)</t>
  </si>
  <si>
    <r>
      <t>N</t>
    </r>
    <r>
      <rPr>
        <vertAlign val="subscript"/>
        <sz val="9"/>
        <rFont val="Arial"/>
        <family val="2"/>
      </rPr>
      <t>R</t>
    </r>
  </si>
  <si>
    <r>
      <t>M</t>
    </r>
    <r>
      <rPr>
        <vertAlign val="subscript"/>
        <sz val="9"/>
        <rFont val="Arial"/>
        <family val="2"/>
      </rPr>
      <t>Rh</t>
    </r>
  </si>
  <si>
    <r>
      <t>N</t>
    </r>
    <r>
      <rPr>
        <vertAlign val="subscript"/>
        <sz val="9"/>
        <rFont val="Arial"/>
        <family val="2"/>
      </rPr>
      <t>R</t>
    </r>
    <r>
      <rPr>
        <sz val="9"/>
        <rFont val="Arial"/>
        <family val="2"/>
      </rPr>
      <t xml:space="preserve"> = r.b.h.f</t>
    </r>
    <r>
      <rPr>
        <vertAlign val="subscript"/>
        <sz val="9"/>
        <rFont val="Arial"/>
        <family val="2"/>
      </rPr>
      <t>cd</t>
    </r>
  </si>
  <si>
    <t>4 - Coefficient de remplissage et position de la résultante de compression - Section partiellement comprimée</t>
  </si>
  <si>
    <t>diagramme Sargin</t>
  </si>
  <si>
    <r>
      <t>11 - Section composée de rectangles - Déformées en haut et bas pour N</t>
    </r>
    <r>
      <rPr>
        <b/>
        <vertAlign val="subscript"/>
        <sz val="9"/>
        <rFont val="Arial"/>
        <family val="2"/>
      </rPr>
      <t>Ed</t>
    </r>
    <r>
      <rPr>
        <b/>
        <sz val="9"/>
        <rFont val="Arial"/>
        <family val="2"/>
      </rPr>
      <t xml:space="preserve"> et M</t>
    </r>
    <r>
      <rPr>
        <b/>
        <vertAlign val="subscript"/>
        <sz val="9"/>
        <rFont val="Arial"/>
        <family val="2"/>
      </rPr>
      <t>Ed</t>
    </r>
    <r>
      <rPr>
        <b/>
        <sz val="9"/>
        <rFont val="Arial"/>
        <family val="2"/>
      </rPr>
      <t xml:space="preserve"> donnés</t>
    </r>
  </si>
  <si>
    <t>fNMz(eh, eb, nt, tabh, dia, fcd, ec1, ec2, nex, kc, Ns, tac, euk, ks, fyd, code)</t>
  </si>
  <si>
    <t>sica(ec, fcd, dia, ec1, ec2, kc, nex)</t>
  </si>
  <si>
    <t>sisa(eps, fyk, gs, euk, ks)</t>
  </si>
  <si>
    <t>macd(a,n)</t>
  </si>
  <si>
    <t>macf(UA,i)</t>
  </si>
  <si>
    <t>Voile n°</t>
  </si>
  <si>
    <t>nbre</t>
  </si>
  <si>
    <t>largeur du voile</t>
  </si>
  <si>
    <t>épaisseur du voile</t>
  </si>
  <si>
    <t>Armat. N°</t>
  </si>
  <si>
    <t>n° voile</t>
  </si>
  <si>
    <t>Matériaux</t>
  </si>
  <si>
    <r>
      <t>d</t>
    </r>
    <r>
      <rPr>
        <vertAlign val="subscript"/>
        <sz val="9"/>
        <rFont val="Arial"/>
        <family val="2"/>
      </rPr>
      <t>iag</t>
    </r>
  </si>
  <si>
    <t>1=PR, 2=Sargin</t>
  </si>
  <si>
    <t>% d'armatures</t>
  </si>
  <si>
    <t>aire totale S =</t>
  </si>
  <si>
    <r>
      <t xml:space="preserve">pourcentahge armatures </t>
    </r>
    <r>
      <rPr>
        <sz val="9"/>
        <rFont val="Symbol"/>
        <family val="1"/>
      </rPr>
      <t>r</t>
    </r>
    <r>
      <rPr>
        <sz val="9"/>
        <rFont val="Arial Narrow"/>
        <family val="2"/>
      </rPr>
      <t xml:space="preserve"> =</t>
    </r>
  </si>
  <si>
    <r>
      <t>section totale A</t>
    </r>
    <r>
      <rPr>
        <vertAlign val="subscript"/>
        <sz val="9"/>
        <rFont val="Arial"/>
        <family val="2"/>
      </rPr>
      <t>s</t>
    </r>
  </si>
  <si>
    <r>
      <t>f</t>
    </r>
    <r>
      <rPr>
        <vertAlign val="subscript"/>
        <sz val="9"/>
        <rFont val="Arial"/>
        <family val="2"/>
      </rPr>
      <t>cm</t>
    </r>
  </si>
  <si>
    <r>
      <t>k</t>
    </r>
    <r>
      <rPr>
        <vertAlign val="subscript"/>
        <sz val="9"/>
        <rFont val="Arial"/>
        <family val="2"/>
      </rPr>
      <t>Sargin</t>
    </r>
  </si>
  <si>
    <r>
      <t>e</t>
    </r>
    <r>
      <rPr>
        <vertAlign val="subscript"/>
        <sz val="9"/>
        <rFont val="Arial"/>
        <family val="2"/>
      </rPr>
      <t>cu2</t>
    </r>
  </si>
  <si>
    <t>Diagramme parabole-rectangle ou Sargin</t>
  </si>
  <si>
    <r>
      <t>N</t>
    </r>
    <r>
      <rPr>
        <vertAlign val="subscript"/>
        <sz val="9"/>
        <rFont val="Arial"/>
        <family val="2"/>
      </rPr>
      <t>Ed</t>
    </r>
  </si>
  <si>
    <r>
      <t>L</t>
    </r>
    <r>
      <rPr>
        <vertAlign val="subscript"/>
        <sz val="9"/>
        <rFont val="Arial"/>
        <family val="2"/>
      </rPr>
      <t>t</t>
    </r>
  </si>
  <si>
    <t>base moment</t>
  </si>
  <si>
    <r>
      <t>D</t>
    </r>
    <r>
      <rPr>
        <sz val="9"/>
        <rFont val="Arial"/>
        <family val="0"/>
      </rPr>
      <t>N/N+</t>
    </r>
    <r>
      <rPr>
        <sz val="9"/>
        <rFont val="Symbol"/>
        <family val="1"/>
      </rPr>
      <t>D</t>
    </r>
    <r>
      <rPr>
        <sz val="9"/>
        <rFont val="Arial"/>
        <family val="0"/>
      </rPr>
      <t>M/M</t>
    </r>
  </si>
  <si>
    <t>Données et résultats</t>
  </si>
  <si>
    <r>
      <t>11 - Section composée de rectangles - Déformées en haut et bas pour N</t>
    </r>
    <r>
      <rPr>
        <vertAlign val="subscript"/>
        <sz val="9"/>
        <rFont val="Arial"/>
        <family val="2"/>
      </rPr>
      <t>Ed</t>
    </r>
    <r>
      <rPr>
        <sz val="9"/>
        <rFont val="Arial"/>
        <family val="0"/>
      </rPr>
      <t xml:space="preserve"> et M</t>
    </r>
    <r>
      <rPr>
        <vertAlign val="subscript"/>
        <sz val="9"/>
        <rFont val="Arial"/>
        <family val="2"/>
      </rPr>
      <t>Ed</t>
    </r>
    <r>
      <rPr>
        <sz val="9"/>
        <rFont val="Arial"/>
        <family val="0"/>
      </rPr>
      <t xml:space="preserve"> donnés</t>
    </r>
  </si>
  <si>
    <t>fpc2(NEd, MEd, base, nt, tabh, dia, fcd, zec1, zec2, zecu1, zecu2, nex, kc, Ns, tac, euk, ks, fyd)</t>
  </si>
  <si>
    <r>
      <t>s</t>
    </r>
    <r>
      <rPr>
        <vertAlign val="subscript"/>
        <sz val="9"/>
        <rFont val="Arial"/>
        <family val="2"/>
      </rPr>
      <t>c,max</t>
    </r>
  </si>
  <si>
    <t>12 - Intégration par Simpson</t>
  </si>
  <si>
    <t>function Simps(T, N, i, dx, code)</t>
  </si>
  <si>
    <t>N peut être pair ou impair</t>
  </si>
  <si>
    <t>Intégration parabolique des i+1 premiers termes d'un tableau Tde N+1 termes, pour un pas dx</t>
  </si>
  <si>
    <t>code=1, intégration par la droite, code=0=intégration par la gauche</t>
  </si>
  <si>
    <t>N</t>
  </si>
  <si>
    <t>dx</t>
  </si>
  <si>
    <t>a =</t>
  </si>
  <si>
    <t>b =</t>
  </si>
  <si>
    <t>T(i)</t>
  </si>
  <si>
    <t>J</t>
  </si>
  <si>
    <r>
      <t>A</t>
    </r>
    <r>
      <rPr>
        <vertAlign val="subscript"/>
        <sz val="9"/>
        <rFont val="Arial"/>
        <family val="2"/>
      </rPr>
      <t>s,sup</t>
    </r>
  </si>
  <si>
    <r>
      <t>A</t>
    </r>
    <r>
      <rPr>
        <vertAlign val="subscript"/>
        <sz val="9"/>
        <rFont val="Arial"/>
        <family val="2"/>
      </rPr>
      <t>s,inf</t>
    </r>
  </si>
  <si>
    <r>
      <t xml:space="preserve">Résultats pour </t>
    </r>
    <r>
      <rPr>
        <b/>
        <sz val="9"/>
        <rFont val="Symbol"/>
        <family val="1"/>
      </rPr>
      <t>e</t>
    </r>
    <r>
      <rPr>
        <b/>
        <vertAlign val="subscript"/>
        <sz val="9"/>
        <rFont val="Arial"/>
        <family val="2"/>
      </rPr>
      <t>c</t>
    </r>
    <r>
      <rPr>
        <b/>
        <sz val="9"/>
        <rFont val="Arial"/>
        <family val="2"/>
      </rPr>
      <t xml:space="preserve"> =  </t>
    </r>
    <r>
      <rPr>
        <b/>
        <sz val="9"/>
        <rFont val="Symbol"/>
        <family val="1"/>
      </rPr>
      <t>e</t>
    </r>
    <r>
      <rPr>
        <b/>
        <vertAlign val="subscript"/>
        <sz val="9"/>
        <rFont val="Arial"/>
        <family val="2"/>
      </rPr>
      <t>cu2</t>
    </r>
    <r>
      <rPr>
        <b/>
        <sz val="9"/>
        <rFont val="Arial"/>
        <family val="2"/>
      </rPr>
      <t xml:space="preserve"> ou e</t>
    </r>
    <r>
      <rPr>
        <b/>
        <vertAlign val="subscript"/>
        <sz val="9"/>
        <rFont val="Arial"/>
        <family val="2"/>
      </rPr>
      <t>cu1</t>
    </r>
  </si>
  <si>
    <r>
      <t xml:space="preserve">Résultats pour </t>
    </r>
    <r>
      <rPr>
        <b/>
        <sz val="9"/>
        <rFont val="Symbol"/>
        <family val="1"/>
      </rPr>
      <t>e</t>
    </r>
    <r>
      <rPr>
        <b/>
        <vertAlign val="subscript"/>
        <sz val="9"/>
        <rFont val="Arial"/>
        <family val="2"/>
      </rPr>
      <t xml:space="preserve">c </t>
    </r>
    <r>
      <rPr>
        <b/>
        <sz val="9"/>
        <rFont val="Arial"/>
        <family val="2"/>
      </rPr>
      <t xml:space="preserve">=  </t>
    </r>
    <r>
      <rPr>
        <b/>
        <sz val="9"/>
        <rFont val="Symbol"/>
        <family val="1"/>
      </rPr>
      <t>e</t>
    </r>
    <r>
      <rPr>
        <b/>
        <vertAlign val="subscript"/>
        <sz val="9"/>
        <rFont val="Arial"/>
        <family val="2"/>
      </rPr>
      <t>c2</t>
    </r>
    <r>
      <rPr>
        <b/>
        <sz val="9"/>
        <rFont val="Arial"/>
        <family val="2"/>
      </rPr>
      <t xml:space="preserve"> ou e</t>
    </r>
    <r>
      <rPr>
        <b/>
        <vertAlign val="subscript"/>
        <sz val="9"/>
        <rFont val="Arial"/>
        <family val="2"/>
      </rPr>
      <t>c1</t>
    </r>
  </si>
  <si>
    <r>
      <t>dN</t>
    </r>
    <r>
      <rPr>
        <vertAlign val="subscript"/>
        <sz val="9"/>
        <rFont val="Arial"/>
        <family val="2"/>
      </rPr>
      <t>c</t>
    </r>
  </si>
  <si>
    <t>vérif</t>
  </si>
  <si>
    <r>
      <t>N</t>
    </r>
    <r>
      <rPr>
        <vertAlign val="subscript"/>
        <sz val="9"/>
        <rFont val="Arial"/>
        <family val="2"/>
      </rPr>
      <t>c</t>
    </r>
    <r>
      <rPr>
        <sz val="9"/>
        <rFont val="Arial"/>
        <family val="0"/>
      </rPr>
      <t xml:space="preserve"> =</t>
    </r>
  </si>
  <si>
    <t>r =</t>
  </si>
  <si>
    <r>
      <t>dM</t>
    </r>
    <r>
      <rPr>
        <vertAlign val="subscript"/>
        <sz val="9"/>
        <rFont val="Arial"/>
        <family val="2"/>
      </rPr>
      <t>c</t>
    </r>
  </si>
  <si>
    <r>
      <t>= M</t>
    </r>
    <r>
      <rPr>
        <vertAlign val="subscript"/>
        <sz val="9"/>
        <rFont val="Arial"/>
        <family val="2"/>
      </rPr>
      <t>c</t>
    </r>
  </si>
  <si>
    <t>= g</t>
  </si>
  <si>
    <t>classe B</t>
  </si>
  <si>
    <t>limélas</t>
  </si>
  <si>
    <t>d'</t>
  </si>
  <si>
    <r>
      <t>n</t>
    </r>
    <r>
      <rPr>
        <vertAlign val="subscript"/>
        <sz val="9"/>
        <rFont val="Arial"/>
        <family val="2"/>
      </rPr>
      <t>eq</t>
    </r>
  </si>
  <si>
    <t>hauteur utile des armatures inférieures</t>
  </si>
  <si>
    <t>hauteur utile des armatures supérieures</t>
  </si>
  <si>
    <t>section d'armatures inférieures</t>
  </si>
  <si>
    <t>section d'armatures supérieures</t>
  </si>
  <si>
    <t>résistance du béton</t>
  </si>
  <si>
    <t>si M &lt; 0</t>
  </si>
  <si>
    <t>si M &gt; 0</t>
  </si>
  <si>
    <t>résistance traction</t>
  </si>
  <si>
    <r>
      <t>moment de fissuration positif  M</t>
    </r>
    <r>
      <rPr>
        <vertAlign val="subscript"/>
        <sz val="9"/>
        <rFont val="Arial"/>
        <family val="2"/>
      </rPr>
      <t>cr</t>
    </r>
    <r>
      <rPr>
        <vertAlign val="superscript"/>
        <sz val="9"/>
        <rFont val="Arial"/>
        <family val="2"/>
      </rPr>
      <t>+</t>
    </r>
  </si>
  <si>
    <r>
      <t>moment de fissuration négatif  M</t>
    </r>
    <r>
      <rPr>
        <vertAlign val="subscript"/>
        <sz val="9"/>
        <rFont val="Arial"/>
        <family val="2"/>
      </rPr>
      <t>cr</t>
    </r>
    <r>
      <rPr>
        <vertAlign val="superscript"/>
        <sz val="9"/>
        <rFont val="Arial"/>
        <family val="2"/>
      </rPr>
      <t>-</t>
    </r>
  </si>
  <si>
    <t>fMcr(neq, Aci, Acs, d, dp, b0, h, bw0, hf, fck, code)</t>
  </si>
  <si>
    <t>sortie</t>
  </si>
  <si>
    <r>
      <t>M</t>
    </r>
    <r>
      <rPr>
        <vertAlign val="subscript"/>
        <sz val="9"/>
        <rFont val="Arial"/>
        <family val="2"/>
      </rPr>
      <t>cr</t>
    </r>
    <r>
      <rPr>
        <vertAlign val="superscript"/>
        <sz val="9"/>
        <rFont val="Arial"/>
        <family val="2"/>
      </rPr>
      <t>+</t>
    </r>
    <r>
      <rPr>
        <sz val="9"/>
        <rFont val="Arial"/>
        <family val="0"/>
      </rPr>
      <t xml:space="preserve"> en kNm pour f</t>
    </r>
    <r>
      <rPr>
        <vertAlign val="subscript"/>
        <sz val="9"/>
        <rFont val="Arial"/>
        <family val="2"/>
      </rPr>
      <t>ctm</t>
    </r>
  </si>
  <si>
    <r>
      <t>M</t>
    </r>
    <r>
      <rPr>
        <vertAlign val="subscript"/>
        <sz val="9"/>
        <rFont val="Arial"/>
        <family val="2"/>
      </rPr>
      <t>cr</t>
    </r>
    <r>
      <rPr>
        <vertAlign val="superscript"/>
        <sz val="9"/>
        <rFont val="Arial"/>
        <family val="2"/>
      </rPr>
      <t>-</t>
    </r>
    <r>
      <rPr>
        <sz val="9"/>
        <rFont val="Arial"/>
        <family val="0"/>
      </rPr>
      <t xml:space="preserve"> en kNm pour f</t>
    </r>
    <r>
      <rPr>
        <vertAlign val="subscript"/>
        <sz val="9"/>
        <rFont val="Arial"/>
        <family val="2"/>
      </rPr>
      <t>ctm</t>
    </r>
  </si>
  <si>
    <r>
      <t>M</t>
    </r>
    <r>
      <rPr>
        <vertAlign val="subscript"/>
        <sz val="9"/>
        <rFont val="Arial"/>
        <family val="2"/>
      </rPr>
      <t>cr</t>
    </r>
    <r>
      <rPr>
        <vertAlign val="superscript"/>
        <sz val="9"/>
        <rFont val="Arial"/>
        <family val="2"/>
      </rPr>
      <t>+</t>
    </r>
    <r>
      <rPr>
        <sz val="9"/>
        <rFont val="Arial"/>
        <family val="0"/>
      </rPr>
      <t xml:space="preserve"> en kNm pour f</t>
    </r>
    <r>
      <rPr>
        <vertAlign val="subscript"/>
        <sz val="9"/>
        <rFont val="Arial"/>
        <family val="2"/>
      </rPr>
      <t>ctm,fl</t>
    </r>
  </si>
  <si>
    <r>
      <t>M</t>
    </r>
    <r>
      <rPr>
        <vertAlign val="subscript"/>
        <sz val="9"/>
        <rFont val="Arial"/>
        <family val="2"/>
      </rPr>
      <t>cr</t>
    </r>
    <r>
      <rPr>
        <vertAlign val="superscript"/>
        <sz val="9"/>
        <rFont val="Arial"/>
        <family val="2"/>
      </rPr>
      <t>-</t>
    </r>
    <r>
      <rPr>
        <sz val="9"/>
        <rFont val="Arial"/>
        <family val="0"/>
      </rPr>
      <t xml:space="preserve"> en kNm pour f</t>
    </r>
    <r>
      <rPr>
        <vertAlign val="subscript"/>
        <sz val="9"/>
        <rFont val="Arial"/>
        <family val="2"/>
      </rPr>
      <t>ctm,fl</t>
    </r>
  </si>
  <si>
    <t>moment d'inertie I</t>
  </si>
  <si>
    <t>module d'inertie I/v</t>
  </si>
  <si>
    <t>module d'inertie I/v'</t>
  </si>
  <si>
    <t>dist. cdg à fibre inf. v'</t>
  </si>
  <si>
    <t>dist. cdg à fibre sup. v</t>
  </si>
  <si>
    <t>dist.cdg à fib.sup.</t>
  </si>
  <si>
    <t>dist.cdg à fib.inf.</t>
  </si>
  <si>
    <t>Pour une résistance moyenne à la traction du béton</t>
  </si>
  <si>
    <t>Moment résistant maximal</t>
  </si>
  <si>
    <r>
      <t xml:space="preserve">Pour </t>
    </r>
    <r>
      <rPr>
        <sz val="9"/>
        <rFont val="Symbol"/>
        <family val="1"/>
      </rPr>
      <t>e</t>
    </r>
    <r>
      <rPr>
        <vertAlign val="subscript"/>
        <sz val="9"/>
        <rFont val="Arial"/>
        <family val="2"/>
      </rPr>
      <t>s</t>
    </r>
    <r>
      <rPr>
        <sz val="9"/>
        <rFont val="Arial"/>
        <family val="0"/>
      </rPr>
      <t xml:space="preserve"> =</t>
    </r>
  </si>
  <si>
    <r>
      <t>13 - Moment de fissuration M</t>
    </r>
    <r>
      <rPr>
        <vertAlign val="subscript"/>
        <sz val="9"/>
        <rFont val="Arial"/>
        <family val="2"/>
      </rPr>
      <t>cr</t>
    </r>
  </si>
  <si>
    <r>
      <t xml:space="preserve">6 - Moment d'inertie en Té d'une section fissurée homogénéisée avec </t>
    </r>
    <r>
      <rPr>
        <b/>
        <sz val="9"/>
        <rFont val="Symbol"/>
        <family val="1"/>
      </rPr>
      <t>a</t>
    </r>
    <r>
      <rPr>
        <b/>
        <vertAlign val="subscript"/>
        <sz val="9"/>
        <rFont val="Arial"/>
        <family val="2"/>
      </rPr>
      <t>e</t>
    </r>
  </si>
  <si>
    <t>13 - Moment de fissuration d'une section en Té</t>
  </si>
  <si>
    <t>Chargements par travées chargées, déchargées</t>
  </si>
  <si>
    <t>14 - Section rectangulaire - Flexion composée en ELS - Calcul des containtes et déformations</t>
  </si>
  <si>
    <t>EC</t>
  </si>
  <si>
    <t>ET</t>
  </si>
  <si>
    <t>FS</t>
  </si>
  <si>
    <t>PT</t>
  </si>
  <si>
    <t>Section entièrement comprimée, entièrement tendue, flexion simple, flexion composée partiellement tendue</t>
  </si>
  <si>
    <r>
      <t>s</t>
    </r>
    <r>
      <rPr>
        <sz val="9"/>
        <rFont val="Arial"/>
        <family val="2"/>
      </rPr>
      <t>'</t>
    </r>
    <r>
      <rPr>
        <vertAlign val="subscript"/>
        <sz val="9"/>
        <rFont val="Arial"/>
        <family val="2"/>
      </rPr>
      <t>s</t>
    </r>
  </si>
  <si>
    <r>
      <t>e</t>
    </r>
    <r>
      <rPr>
        <vertAlign val="subscript"/>
        <sz val="9"/>
        <rFont val="Arial"/>
        <family val="2"/>
      </rPr>
      <t>m</t>
    </r>
    <r>
      <rPr>
        <sz val="9"/>
        <rFont val="Arial"/>
        <family val="2"/>
      </rPr>
      <t xml:space="preserve"> ( à mi-hauteur)</t>
    </r>
  </si>
  <si>
    <r>
      <t>e</t>
    </r>
    <r>
      <rPr>
        <vertAlign val="subscript"/>
        <sz val="9"/>
        <rFont val="Arial"/>
        <family val="2"/>
      </rPr>
      <t>c,sup</t>
    </r>
  </si>
  <si>
    <r>
      <t>e</t>
    </r>
    <r>
      <rPr>
        <vertAlign val="subscript"/>
        <sz val="9"/>
        <rFont val="Arial"/>
        <family val="2"/>
      </rPr>
      <t>c,inf</t>
    </r>
  </si>
  <si>
    <r>
      <t>e</t>
    </r>
    <r>
      <rPr>
        <vertAlign val="subscript"/>
        <sz val="9"/>
        <rFont val="Arial"/>
        <family val="2"/>
      </rPr>
      <t>s,inf</t>
    </r>
  </si>
  <si>
    <r>
      <t>e</t>
    </r>
    <r>
      <rPr>
        <vertAlign val="subscript"/>
        <sz val="9"/>
        <rFont val="Arial"/>
        <family val="2"/>
      </rPr>
      <t>s,sup</t>
    </r>
  </si>
  <si>
    <r>
      <t>s</t>
    </r>
    <r>
      <rPr>
        <vertAlign val="subscript"/>
        <sz val="9"/>
        <rFont val="Arial"/>
        <family val="2"/>
      </rPr>
      <t>c,sup</t>
    </r>
  </si>
  <si>
    <r>
      <t>s</t>
    </r>
    <r>
      <rPr>
        <vertAlign val="subscript"/>
        <sz val="9"/>
        <rFont val="Arial"/>
        <family val="2"/>
      </rPr>
      <t>c,inf</t>
    </r>
  </si>
  <si>
    <t>code sortie</t>
  </si>
  <si>
    <t>macd</t>
  </si>
  <si>
    <t>macf</t>
  </si>
  <si>
    <t>functions appelées</t>
  </si>
  <si>
    <t>effort normal</t>
  </si>
  <si>
    <t>hauteur</t>
  </si>
  <si>
    <t>hauteur utile aciers inférieurs</t>
  </si>
  <si>
    <t>hauteur utile aciers supérieurs</t>
  </si>
  <si>
    <r>
      <t>Si la contrainte de traction du béton est &lt; f</t>
    </r>
    <r>
      <rPr>
        <vertAlign val="subscript"/>
        <sz val="9"/>
        <rFont val="Arial"/>
        <family val="2"/>
      </rPr>
      <t xml:space="preserve">ctl,fl </t>
    </r>
    <r>
      <rPr>
        <sz val="9"/>
        <rFont val="Arial"/>
        <family val="0"/>
      </rPr>
      <t>: béton tendu pris en compte en FC-EC</t>
    </r>
  </si>
  <si>
    <t xml:space="preserve">moment </t>
  </si>
  <si>
    <t>contraine maximale béton</t>
  </si>
  <si>
    <t>contrainte minimale béton</t>
  </si>
  <si>
    <t>contrainte aciers inférieurs</t>
  </si>
  <si>
    <t>contrainte aciers supérieurs</t>
  </si>
  <si>
    <t>déformation à mi-hauteur</t>
  </si>
  <si>
    <t>déformation maximale béton</t>
  </si>
  <si>
    <t>déformation minimale béton</t>
  </si>
  <si>
    <t>déformation aciers inférieurs</t>
  </si>
  <si>
    <t>déformation aciers supérieurs</t>
  </si>
  <si>
    <r>
      <t>e</t>
    </r>
    <r>
      <rPr>
        <vertAlign val="subscript"/>
        <sz val="9"/>
        <rFont val="Arial"/>
        <family val="2"/>
      </rPr>
      <t>0</t>
    </r>
    <r>
      <rPr>
        <sz val="9"/>
        <rFont val="Arial"/>
        <family val="0"/>
      </rPr>
      <t xml:space="preserve"> = M</t>
    </r>
    <r>
      <rPr>
        <vertAlign val="subscript"/>
        <sz val="9"/>
        <rFont val="Arial"/>
        <family val="2"/>
      </rPr>
      <t>Ed</t>
    </r>
    <r>
      <rPr>
        <sz val="9"/>
        <rFont val="Arial"/>
        <family val="0"/>
      </rPr>
      <t>/N</t>
    </r>
    <r>
      <rPr>
        <vertAlign val="subscript"/>
        <sz val="9"/>
        <rFont val="Arial"/>
        <family val="2"/>
      </rPr>
      <t>Ed</t>
    </r>
    <r>
      <rPr>
        <sz val="9"/>
        <rFont val="Arial"/>
        <family val="2"/>
      </rPr>
      <t xml:space="preserve">  excentricité</t>
    </r>
  </si>
  <si>
    <t>fxx2(Mo, No, b, h, d0, dp0, neq, Aci0, Acs0, fck)</t>
  </si>
  <si>
    <t>9 - Section d'armature tendue d'une section en Té - Flexion simple</t>
  </si>
  <si>
    <t>portées entre nus</t>
  </si>
  <si>
    <t>na</t>
  </si>
  <si>
    <t>nk</t>
  </si>
  <si>
    <t>= 0 en ELS, = 1 en ELU (deux types de combinaison (g+1,5q et 1,35g+1,5q en automatique)</t>
  </si>
  <si>
    <t>por</t>
  </si>
  <si>
    <t>E.I</t>
  </si>
  <si>
    <t>largeurs des appuis à gauche (m)</t>
  </si>
  <si>
    <t>unité</t>
  </si>
  <si>
    <t>nb de tronçons ≤ 50</t>
  </si>
  <si>
    <t>nb d'appuis ≤ 11</t>
  </si>
  <si>
    <t>coefficient sur charges variables (1 en ELS)</t>
  </si>
  <si>
    <t>ELS ou ELU, portées entre nus ou entre axes</t>
  </si>
  <si>
    <t xml:space="preserve">n° de la travée étudiée                  </t>
  </si>
  <si>
    <t>nus appuis</t>
  </si>
  <si>
    <t>15 - Travée de poutre continue - Moments enveloppes des différents cas de charges</t>
  </si>
  <si>
    <r>
      <t xml:space="preserve">coefficient sur charges permanentes (en ELU, = 1 ou </t>
    </r>
    <r>
      <rPr>
        <sz val="9"/>
        <rFont val="Symbol"/>
        <family val="1"/>
      </rPr>
      <t>Y</t>
    </r>
    <r>
      <rPr>
        <vertAlign val="subscript"/>
        <sz val="9"/>
        <rFont val="Arial"/>
        <family val="2"/>
      </rPr>
      <t>2</t>
    </r>
    <r>
      <rPr>
        <sz val="9"/>
        <rFont val="Arial"/>
        <family val="0"/>
      </rPr>
      <t xml:space="preserve"> en ELS)</t>
    </r>
  </si>
  <si>
    <r>
      <t>= 0 = portée entre nus L</t>
    </r>
    <r>
      <rPr>
        <vertAlign val="subscript"/>
        <sz val="9"/>
        <rFont val="Arial"/>
        <family val="2"/>
      </rPr>
      <t>n</t>
    </r>
    <r>
      <rPr>
        <sz val="9"/>
        <rFont val="Arial"/>
        <family val="0"/>
      </rPr>
      <t xml:space="preserve"> (BAEL) ; = 1 = portée entre axes L</t>
    </r>
    <r>
      <rPr>
        <vertAlign val="subscript"/>
        <sz val="9"/>
        <rFont val="Arial"/>
        <family val="2"/>
      </rPr>
      <t>eff</t>
    </r>
    <r>
      <rPr>
        <sz val="9"/>
        <rFont val="Arial"/>
        <family val="2"/>
      </rPr>
      <t xml:space="preserve"> (EC2)</t>
    </r>
  </si>
  <si>
    <r>
      <t>kN/m</t>
    </r>
    <r>
      <rPr>
        <vertAlign val="superscript"/>
        <sz val="9"/>
        <rFont val="Arial"/>
        <family val="2"/>
      </rPr>
      <t>2</t>
    </r>
  </si>
  <si>
    <r>
      <t>t</t>
    </r>
    <r>
      <rPr>
        <vertAlign val="subscript"/>
        <sz val="9"/>
        <rFont val="Arial"/>
        <family val="2"/>
      </rPr>
      <t>appui</t>
    </r>
  </si>
  <si>
    <r>
      <t>x</t>
    </r>
    <r>
      <rPr>
        <vertAlign val="subscript"/>
        <sz val="9"/>
        <rFont val="Arial"/>
        <family val="2"/>
      </rPr>
      <t>/nu</t>
    </r>
  </si>
  <si>
    <r>
      <t>M</t>
    </r>
    <r>
      <rPr>
        <vertAlign val="subscript"/>
        <sz val="9"/>
        <rFont val="Arial Narrow"/>
        <family val="2"/>
      </rPr>
      <t>max</t>
    </r>
  </si>
  <si>
    <r>
      <t>M</t>
    </r>
    <r>
      <rPr>
        <vertAlign val="subscript"/>
        <sz val="9"/>
        <rFont val="Arial"/>
        <family val="2"/>
      </rPr>
      <t>min</t>
    </r>
  </si>
  <si>
    <r>
      <t>x</t>
    </r>
    <r>
      <rPr>
        <vertAlign val="subscript"/>
        <sz val="9"/>
        <rFont val="Arial"/>
        <family val="2"/>
      </rPr>
      <t>0</t>
    </r>
  </si>
  <si>
    <r>
      <t>x</t>
    </r>
    <r>
      <rPr>
        <vertAlign val="subscript"/>
        <sz val="9"/>
        <rFont val="Arial"/>
        <family val="2"/>
      </rPr>
      <t>1</t>
    </r>
  </si>
  <si>
    <t>9 - ELU - Section d'armature tendue d'une section en Té - Diagrammes rectangulaire, parabole-rectangle ou Sargin</t>
  </si>
  <si>
    <t>14 - ELS - Section rectangulaire - Flexion simple ou composée - Contraintes et déformations</t>
  </si>
  <si>
    <t>10 - Coefficient de remplissage et position de la résultante de compression - Section entièrement comprimée - Diagramme de Sargin</t>
  </si>
  <si>
    <t>16 - ELS - Section en Té en flexion composée - Vérification contraintes et détermination aciers si contraintes dépassées</t>
  </si>
  <si>
    <t>16 - ELS - Section en Té en flexion composée - Vérification des contraintes et détermination des aciers si contraintes dépassées</t>
  </si>
  <si>
    <t>somme</t>
  </si>
  <si>
    <t>fyx(x, n, b, h, bw0, hf, eo, Asa, da, Asb, db)</t>
  </si>
  <si>
    <t>fequa3(n, b, h, bw0, hf, eo, Asa, da, Asb, db)</t>
  </si>
  <si>
    <t>fcels(N, M, Ass, Asp, d, dp, neq, b, h, bw, hf, scd, ssd, code)</t>
  </si>
  <si>
    <r>
      <t>A'</t>
    </r>
    <r>
      <rPr>
        <vertAlign val="subscript"/>
        <sz val="9"/>
        <rFont val="Arial"/>
        <family val="2"/>
      </rPr>
      <t>s</t>
    </r>
  </si>
  <si>
    <r>
      <t>s</t>
    </r>
    <r>
      <rPr>
        <vertAlign val="subscript"/>
        <sz val="9"/>
        <rFont val="Arial"/>
        <family val="2"/>
      </rPr>
      <t>cd</t>
    </r>
  </si>
  <si>
    <r>
      <t>s</t>
    </r>
    <r>
      <rPr>
        <vertAlign val="subscript"/>
        <sz val="9"/>
        <rFont val="Arial"/>
        <family val="2"/>
      </rPr>
      <t>sd</t>
    </r>
  </si>
  <si>
    <r>
      <t>s</t>
    </r>
    <r>
      <rPr>
        <vertAlign val="subscript"/>
        <sz val="9"/>
        <rFont val="Arial"/>
        <family val="2"/>
      </rPr>
      <t>cf</t>
    </r>
  </si>
  <si>
    <r>
      <t>e</t>
    </r>
    <r>
      <rPr>
        <vertAlign val="subscript"/>
        <sz val="9"/>
        <rFont val="Arial"/>
        <family val="2"/>
      </rPr>
      <t>m</t>
    </r>
  </si>
  <si>
    <r>
      <t>e</t>
    </r>
    <r>
      <rPr>
        <vertAlign val="subscript"/>
        <sz val="9"/>
        <rFont val="Arial"/>
        <family val="2"/>
      </rPr>
      <t>0</t>
    </r>
  </si>
  <si>
    <r>
      <t>F</t>
    </r>
    <r>
      <rPr>
        <vertAlign val="subscript"/>
        <sz val="9"/>
        <rFont val="Arial"/>
        <family val="2"/>
      </rPr>
      <t>cf</t>
    </r>
  </si>
  <si>
    <r>
      <t>F'</t>
    </r>
    <r>
      <rPr>
        <vertAlign val="subscript"/>
        <sz val="9"/>
        <rFont val="Arial"/>
        <family val="2"/>
      </rPr>
      <t>s</t>
    </r>
  </si>
  <si>
    <t>Vérification des efforts</t>
  </si>
  <si>
    <t>Vérification des moments</t>
  </si>
  <si>
    <r>
      <t>M</t>
    </r>
    <r>
      <rPr>
        <vertAlign val="subscript"/>
        <sz val="9"/>
        <rFont val="Arial"/>
        <family val="2"/>
      </rPr>
      <t>c</t>
    </r>
  </si>
  <si>
    <r>
      <t>M</t>
    </r>
    <r>
      <rPr>
        <vertAlign val="subscript"/>
        <sz val="9"/>
        <rFont val="Arial"/>
        <family val="2"/>
      </rPr>
      <t>cf</t>
    </r>
  </si>
  <si>
    <r>
      <t>M</t>
    </r>
    <r>
      <rPr>
        <vertAlign val="subscript"/>
        <sz val="9"/>
        <rFont val="Arial"/>
        <family val="2"/>
      </rPr>
      <t>s</t>
    </r>
  </si>
  <si>
    <r>
      <t>M'</t>
    </r>
    <r>
      <rPr>
        <vertAlign val="subscript"/>
        <sz val="9"/>
        <rFont val="Arial"/>
        <family val="2"/>
      </rPr>
      <t>s</t>
    </r>
  </si>
  <si>
    <t>section</t>
  </si>
  <si>
    <t>moment</t>
  </si>
  <si>
    <t>effort normal à mi-hauteur</t>
  </si>
  <si>
    <t>section acier inférieur</t>
  </si>
  <si>
    <t>section acier supérieur</t>
  </si>
  <si>
    <r>
      <t>coefficient d'équivalence = E</t>
    </r>
    <r>
      <rPr>
        <vertAlign val="subscript"/>
        <sz val="9"/>
        <rFont val="Arial"/>
        <family val="2"/>
      </rPr>
      <t>s</t>
    </r>
    <r>
      <rPr>
        <sz val="9"/>
        <rFont val="Arial"/>
        <family val="0"/>
      </rPr>
      <t>/E</t>
    </r>
    <r>
      <rPr>
        <vertAlign val="subscript"/>
        <sz val="9"/>
        <rFont val="Arial"/>
        <family val="2"/>
      </rPr>
      <t>c</t>
    </r>
  </si>
  <si>
    <t>larteur âme</t>
  </si>
  <si>
    <t>contrainte limite du béton</t>
  </si>
  <si>
    <t>contrainte limite de l'acier</t>
  </si>
  <si>
    <t>contrainte béton table</t>
  </si>
  <si>
    <t>aciers inférieurs</t>
  </si>
  <si>
    <t>aciers supérieurs</t>
  </si>
  <si>
    <t>excentricité</t>
  </si>
  <si>
    <t>"</t>
  </si>
  <si>
    <t>acier inférieur</t>
  </si>
  <si>
    <t>acier supérieur</t>
  </si>
  <si>
    <t>sollicitation extérieure</t>
  </si>
  <si>
    <t>fintLP(x, nc, nL, t, cas)</t>
  </si>
  <si>
    <t>17 - Interpolation linéaire ou parabolique</t>
  </si>
  <si>
    <t>16 - Interpolations linéaire ou parabolique</t>
  </si>
  <si>
    <r>
      <t>y</t>
    </r>
    <r>
      <rPr>
        <vertAlign val="subscript"/>
        <sz val="9"/>
        <rFont val="Arial"/>
        <family val="2"/>
      </rPr>
      <t>1</t>
    </r>
  </si>
  <si>
    <r>
      <t>y</t>
    </r>
    <r>
      <rPr>
        <vertAlign val="subscript"/>
        <sz val="9"/>
        <rFont val="Arial"/>
        <family val="2"/>
      </rPr>
      <t>2</t>
    </r>
  </si>
  <si>
    <t>x =</t>
  </si>
  <si>
    <t>y =</t>
  </si>
  <si>
    <t>en linéaire (cas 1)</t>
  </si>
  <si>
    <t>en parabolique (cas 2)</t>
  </si>
  <si>
    <t>nc</t>
  </si>
  <si>
    <t>nL</t>
  </si>
  <si>
    <t>t</t>
  </si>
  <si>
    <t>cas</t>
  </si>
  <si>
    <t>valeur donnée de la 1re colonne</t>
  </si>
  <si>
    <t>tableau</t>
  </si>
  <si>
    <t>=1=linéaire, =2=parabolique</t>
  </si>
  <si>
    <t>numéro de la colonne dont on veut le résutat</t>
  </si>
  <si>
    <t>nombre de lignes du tableau t</t>
  </si>
  <si>
    <t>Pour la colonne 3</t>
  </si>
  <si>
    <t>18 - Effort tranchants, moments et flèches sous charges concentrées et réparties uniformes partielles</t>
  </si>
  <si>
    <t>P</t>
  </si>
  <si>
    <t>L</t>
  </si>
  <si>
    <r>
      <t>MN.m</t>
    </r>
    <r>
      <rPr>
        <vertAlign val="superscript"/>
        <sz val="9"/>
        <rFont val="Arial"/>
        <family val="2"/>
      </rPr>
      <t>2</t>
    </r>
  </si>
  <si>
    <t>abscisse de calcul</t>
  </si>
  <si>
    <t>charge n°</t>
  </si>
  <si>
    <t>ch.concentrées</t>
  </si>
  <si>
    <t>charges réparties uniformes</t>
  </si>
  <si>
    <t>portée</t>
  </si>
  <si>
    <t>V</t>
  </si>
  <si>
    <t>Total</t>
  </si>
  <si>
    <t>c</t>
  </si>
  <si>
    <t>fVMf(x, L, td, EI, code)</t>
  </si>
  <si>
    <t xml:space="preserve">Ce document est protégé par le droit d’auteur © Henry Thonier - EGF </t>
  </si>
  <si>
    <t>y'</t>
  </si>
  <si>
    <t>nbre de valeurs</t>
  </si>
  <si>
    <t>19 - Dérivées d'une fonction y = f(x) définie par un tableau</t>
  </si>
  <si>
    <t>= fderiv(tx, ty, n)</t>
  </si>
  <si>
    <t>Les différences y(i) - y(i-1) peuvent ne pas être constantes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</si>
</sst>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%"/>
    <numFmt numFmtId="167" formatCode="0.000%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&quot;Vrai&quot;;&quot;Vrai&quot;;&quot;Faux&quot;"/>
    <numFmt numFmtId="174" formatCode="&quot;Actif&quot;;&quot;Actif&quot;;&quot;Inactif&quot;"/>
    <numFmt numFmtId="175" formatCode="#,##0.00_ ;\-#,##0.00\ "/>
    <numFmt numFmtId="176" formatCode="&quot;Cas de charge &quot;\ 0"/>
    <numFmt numFmtId="177" formatCode="&quot;Cas de charge &quot;0"/>
    <numFmt numFmtId="178" formatCode="&quot;Appui &quot;0"/>
    <numFmt numFmtId="179" formatCode="0.00&quot; %&quot;"/>
    <numFmt numFmtId="180" formatCode="0.00&quot; ‰&quot;"/>
    <numFmt numFmtId="181" formatCode="&quot;cas de charge&quot;\ 0"/>
    <numFmt numFmtId="182" formatCode="&quot;cas de charge &quot;0"/>
    <numFmt numFmtId="183" formatCode="&quot;p (cas &quot;0&quot;)&quot;"/>
    <numFmt numFmtId="184" formatCode="&quot;1/&quot;0&quot;°&quot;"/>
    <numFmt numFmtId="185" formatCode="&quot;≤ &quot;0.00"/>
    <numFmt numFmtId="186" formatCode="&quot;paramètre &quot;0"/>
  </numFmts>
  <fonts count="65">
    <font>
      <sz val="9"/>
      <name val="Arial"/>
      <family val="0"/>
    </font>
    <font>
      <vertAlign val="subscript"/>
      <sz val="9"/>
      <name val="Arial"/>
      <family val="2"/>
    </font>
    <font>
      <sz val="9"/>
      <name val="Symbol"/>
      <family val="1"/>
    </font>
    <font>
      <vertAlign val="superscript"/>
      <sz val="9"/>
      <name val="Arial"/>
      <family val="2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9"/>
      <name val="Arial Narrow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b/>
      <sz val="9"/>
      <name val="Tahoma"/>
      <family val="0"/>
    </font>
    <font>
      <sz val="9"/>
      <color indexed="23"/>
      <name val="Arial"/>
      <family val="0"/>
    </font>
    <font>
      <b/>
      <sz val="9"/>
      <name val="Symbol"/>
      <family val="1"/>
    </font>
    <font>
      <sz val="9"/>
      <color indexed="55"/>
      <name val="Arial"/>
      <family val="0"/>
    </font>
    <font>
      <sz val="8"/>
      <name val="Arial Narrow"/>
      <family val="2"/>
    </font>
    <font>
      <sz val="8"/>
      <color indexed="23"/>
      <name val="Arial"/>
      <family val="0"/>
    </font>
    <font>
      <sz val="9"/>
      <color indexed="10"/>
      <name val="Arial"/>
      <family val="0"/>
    </font>
    <font>
      <sz val="8"/>
      <color indexed="23"/>
      <name val="Arial Narrow"/>
      <family val="2"/>
    </font>
    <font>
      <sz val="9"/>
      <color indexed="12"/>
      <name val="Arial"/>
      <family val="0"/>
    </font>
    <font>
      <vertAlign val="subscript"/>
      <sz val="9"/>
      <name val="Arial Narrow"/>
      <family val="2"/>
    </font>
    <font>
      <sz val="9"/>
      <color indexed="8"/>
      <name val="Arial"/>
      <family val="2"/>
    </font>
    <font>
      <vertAlign val="subscript"/>
      <sz val="9"/>
      <color indexed="8"/>
      <name val="Arial"/>
      <family val="2"/>
    </font>
    <font>
      <sz val="10"/>
      <name val="Symbol"/>
      <family val="1"/>
    </font>
    <font>
      <b/>
      <sz val="8"/>
      <name val="Tahoma"/>
      <family val="0"/>
    </font>
    <font>
      <b/>
      <vertAlign val="superscript"/>
      <sz val="9"/>
      <name val="Arial"/>
      <family val="2"/>
    </font>
    <font>
      <b/>
      <sz val="9"/>
      <color indexed="12"/>
      <name val="Arial"/>
      <family val="2"/>
    </font>
    <font>
      <sz val="9"/>
      <name val="Tahoma"/>
      <family val="0"/>
    </font>
    <font>
      <sz val="8"/>
      <color indexed="55"/>
      <name val="Arial"/>
      <family val="0"/>
    </font>
    <font>
      <i/>
      <sz val="9"/>
      <color indexed="55"/>
      <name val="Arial Narrow"/>
      <family val="2"/>
    </font>
    <font>
      <sz val="8"/>
      <color indexed="19"/>
      <name val="Arial"/>
      <family val="2"/>
    </font>
    <font>
      <b/>
      <vertAlign val="subscript"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0"/>
    </font>
    <font>
      <sz val="8"/>
      <color indexed="8"/>
      <name val="Symbol"/>
      <family val="0"/>
    </font>
    <font>
      <vertAlign val="subscript"/>
      <sz val="8"/>
      <color indexed="8"/>
      <name val="Arial"/>
      <family val="0"/>
    </font>
    <font>
      <sz val="7.35"/>
      <color indexed="8"/>
      <name val="Arial"/>
      <family val="0"/>
    </font>
    <font>
      <sz val="8.25"/>
      <color indexed="8"/>
      <name val="Arial"/>
      <family val="0"/>
    </font>
    <font>
      <sz val="7.55"/>
      <color indexed="8"/>
      <name val="Arial"/>
      <family val="0"/>
    </font>
    <font>
      <sz val="9"/>
      <color indexed="12"/>
      <name val="Symbol"/>
      <family val="1"/>
    </font>
    <font>
      <vertAlign val="subscript"/>
      <sz val="9"/>
      <color indexed="12"/>
      <name val="Arial"/>
      <family val="2"/>
    </font>
    <font>
      <sz val="8"/>
      <color indexed="12"/>
      <name val="Arial"/>
      <family val="0"/>
    </font>
    <font>
      <vertAlign val="subscript"/>
      <sz val="9"/>
      <name val="Symbol"/>
      <family val="1"/>
    </font>
    <font>
      <u val="single"/>
      <sz val="9"/>
      <name val="Arial"/>
      <family val="0"/>
    </font>
    <font>
      <sz val="10"/>
      <name val="Arial"/>
      <family val="0"/>
    </font>
    <font>
      <sz val="8"/>
      <color indexed="45"/>
      <name val="Arial"/>
      <family val="0"/>
    </font>
    <font>
      <sz val="9"/>
      <color indexed="63"/>
      <name val="Arial"/>
      <family val="0"/>
    </font>
    <font>
      <b/>
      <sz val="8"/>
      <color indexed="10"/>
      <name val="Tahoma"/>
      <family val="2"/>
    </font>
    <font>
      <sz val="8.75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hair"/>
    </border>
    <border>
      <left style="thick"/>
      <right style="thick"/>
      <top style="hair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 style="thick"/>
      <right style="thin"/>
      <top style="hair"/>
      <bottom style="thick"/>
    </border>
    <border>
      <left style="thin"/>
      <right style="thin"/>
      <top style="thick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hair"/>
      <bottom style="hair"/>
    </border>
    <border>
      <left style="thin">
        <color indexed="12"/>
      </left>
      <right style="thin"/>
      <top style="thick"/>
      <bottom style="hair"/>
    </border>
    <border>
      <left style="thin"/>
      <right style="thin">
        <color indexed="12"/>
      </right>
      <top style="thick"/>
      <bottom style="hair"/>
    </border>
    <border>
      <left style="thin">
        <color indexed="12"/>
      </left>
      <right style="thin">
        <color indexed="8"/>
      </right>
      <top style="hair"/>
      <bottom style="hair">
        <color indexed="8"/>
      </bottom>
    </border>
    <border>
      <left style="thin">
        <color indexed="8"/>
      </left>
      <right style="thin">
        <color indexed="8"/>
      </right>
      <top style="hair"/>
      <bottom style="hair">
        <color indexed="8"/>
      </bottom>
    </border>
    <border>
      <left style="thin">
        <color indexed="8"/>
      </left>
      <right style="thin">
        <color indexed="12"/>
      </right>
      <top style="hair"/>
      <bottom style="hair">
        <color indexed="8"/>
      </bottom>
    </border>
    <border>
      <left style="thin">
        <color indexed="12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12"/>
      </right>
      <top style="hair">
        <color indexed="8"/>
      </top>
      <bottom style="hair">
        <color indexed="8"/>
      </bottom>
    </border>
    <border>
      <left style="thin">
        <color indexed="12"/>
      </left>
      <right style="thin">
        <color indexed="8"/>
      </right>
      <top style="hair">
        <color indexed="8"/>
      </top>
      <bottom style="thin">
        <color indexed="12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12"/>
      </bottom>
    </border>
    <border>
      <left style="thin">
        <color indexed="8"/>
      </left>
      <right style="thin">
        <color indexed="12"/>
      </right>
      <top style="hair">
        <color indexed="8"/>
      </top>
      <bottom style="thin">
        <color indexed="12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ck"/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ck"/>
      <right style="thin"/>
      <top style="thick"/>
      <bottom style="hair"/>
    </border>
    <border>
      <left style="thin"/>
      <right style="thick"/>
      <top style="thick"/>
      <bottom style="hair"/>
    </border>
    <border>
      <left style="thick"/>
      <right style="thin"/>
      <top style="hair"/>
      <bottom style="hair"/>
    </border>
    <border>
      <left style="thin"/>
      <right style="thin"/>
      <top style="hair"/>
      <bottom style="thick"/>
    </border>
    <border>
      <left style="thin"/>
      <right>
        <color indexed="63"/>
      </right>
      <top style="hair"/>
      <bottom style="thick"/>
    </border>
    <border>
      <left style="thin"/>
      <right style="thick"/>
      <top style="thick"/>
      <bottom style="thick"/>
    </border>
    <border>
      <left style="thick"/>
      <right style="thin"/>
      <top style="thin"/>
      <bottom style="hair"/>
    </border>
    <border>
      <left style="thick"/>
      <right style="thin"/>
      <top style="hair"/>
      <bottom style="thin"/>
    </border>
    <border>
      <left style="thick"/>
      <right style="thick"/>
      <top style="hair"/>
      <bottom style="hair"/>
    </border>
    <border>
      <left style="thin"/>
      <right style="thick"/>
      <top style="hair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ck"/>
      <top style="hair"/>
      <bottom>
        <color indexed="63"/>
      </bottom>
    </border>
    <border>
      <left>
        <color indexed="63"/>
      </left>
      <right style="thick"/>
      <top style="thick"/>
      <bottom style="hair"/>
    </border>
    <border>
      <left>
        <color indexed="63"/>
      </left>
      <right style="thick"/>
      <top style="hair"/>
      <bottom style="thick"/>
    </border>
    <border>
      <left>
        <color indexed="63"/>
      </left>
      <right style="thick"/>
      <top style="hair"/>
      <bottom style="hair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0" fillId="21" borderId="3" applyNumberFormat="0" applyFont="0" applyAlignment="0" applyProtection="0"/>
    <xf numFmtId="0" fontId="36" fillId="7" borderId="1" applyNumberFormat="0" applyAlignment="0" applyProtection="0"/>
    <xf numFmtId="44" fontId="0" fillId="0" borderId="0" applyFont="0" applyFill="0" applyBorder="0" applyAlignment="0" applyProtection="0"/>
    <xf numFmtId="0" fontId="37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0" fillId="20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3" borderId="9" applyNumberFormat="0" applyAlignment="0" applyProtection="0"/>
  </cellStyleXfs>
  <cellXfs count="5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0" fillId="0" borderId="21" xfId="0" applyNumberFormat="1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 quotePrefix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8" fillId="0" borderId="0" xfId="0" applyFont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Alignment="1" quotePrefix="1">
      <alignment horizontal="center"/>
    </xf>
    <xf numFmtId="172" fontId="0" fillId="0" borderId="11" xfId="0" applyNumberFormat="1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66" fontId="0" fillId="0" borderId="0" xfId="53" applyNumberFormat="1" applyFont="1" applyAlignment="1">
      <alignment horizontal="center"/>
    </xf>
    <xf numFmtId="172" fontId="0" fillId="0" borderId="11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0" fillId="22" borderId="11" xfId="0" applyNumberFormat="1" applyFont="1" applyFill="1" applyBorder="1" applyAlignment="1">
      <alignment horizontal="center"/>
    </xf>
    <xf numFmtId="0" fontId="8" fillId="0" borderId="0" xfId="0" applyFont="1" applyAlignment="1" quotePrefix="1">
      <alignment horizontal="left"/>
    </xf>
    <xf numFmtId="0" fontId="0" fillId="10" borderId="0" xfId="0" applyFill="1" applyAlignment="1">
      <alignment horizontal="center"/>
    </xf>
    <xf numFmtId="0" fontId="0" fillId="10" borderId="0" xfId="0" applyFill="1" applyAlignment="1">
      <alignment horizontal="left"/>
    </xf>
    <xf numFmtId="0" fontId="0" fillId="10" borderId="0" xfId="0" applyFill="1" applyAlignment="1">
      <alignment horizontal="right"/>
    </xf>
    <xf numFmtId="0" fontId="0" fillId="1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2" fontId="0" fillId="0" borderId="0" xfId="0" applyNumberFormat="1" applyFill="1" applyAlignment="1">
      <alignment horizontal="center"/>
    </xf>
    <xf numFmtId="0" fontId="11" fillId="0" borderId="0" xfId="0" applyFont="1" applyFill="1" applyAlignment="1">
      <alignment horizontal="left"/>
    </xf>
    <xf numFmtId="164" fontId="0" fillId="0" borderId="11" xfId="0" applyNumberForma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172" fontId="0" fillId="0" borderId="11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0" xfId="0" applyFill="1" applyAlignment="1" quotePrefix="1">
      <alignment horizontal="left"/>
    </xf>
    <xf numFmtId="166" fontId="0" fillId="0" borderId="12" xfId="53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Fill="1" applyAlignment="1">
      <alignment horizontal="right"/>
    </xf>
    <xf numFmtId="0" fontId="0" fillId="22" borderId="12" xfId="0" applyFill="1" applyBorder="1" applyAlignment="1">
      <alignment horizontal="center"/>
    </xf>
    <xf numFmtId="2" fontId="0" fillId="22" borderId="11" xfId="0" applyNumberFormat="1" applyFill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0" fontId="13" fillId="0" borderId="0" xfId="0" applyFont="1" applyFill="1" applyAlignment="1">
      <alignment horizontal="left"/>
    </xf>
    <xf numFmtId="165" fontId="0" fillId="22" borderId="10" xfId="0" applyNumberFormat="1" applyFill="1" applyBorder="1" applyAlignment="1">
      <alignment horizontal="center"/>
    </xf>
    <xf numFmtId="165" fontId="0" fillId="22" borderId="11" xfId="0" applyNumberFormat="1" applyFill="1" applyBorder="1" applyAlignment="1">
      <alignment horizontal="center"/>
    </xf>
    <xf numFmtId="165" fontId="11" fillId="0" borderId="0" xfId="0" applyNumberFormat="1" applyFont="1" applyAlignment="1">
      <alignment horizontal="center"/>
    </xf>
    <xf numFmtId="166" fontId="0" fillId="0" borderId="0" xfId="53" applyNumberFormat="1" applyFont="1" applyAlignment="1">
      <alignment horizontal="right"/>
    </xf>
    <xf numFmtId="0" fontId="14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4" borderId="26" xfId="0" applyFill="1" applyBorder="1" applyAlignment="1">
      <alignment horizontal="center"/>
    </xf>
    <xf numFmtId="170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177" fontId="7" fillId="0" borderId="0" xfId="0" applyNumberFormat="1" applyFont="1" applyAlignment="1">
      <alignment/>
    </xf>
    <xf numFmtId="178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23" borderId="27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28" xfId="0" applyBorder="1" applyAlignment="1">
      <alignment horizontal="center"/>
    </xf>
    <xf numFmtId="0" fontId="0" fillId="0" borderId="11" xfId="0" applyFill="1" applyBorder="1" applyAlignment="1">
      <alignment horizontal="center"/>
    </xf>
    <xf numFmtId="164" fontId="0" fillId="24" borderId="10" xfId="0" applyNumberFormat="1" applyFill="1" applyBorder="1" applyAlignment="1">
      <alignment horizontal="center"/>
    </xf>
    <xf numFmtId="164" fontId="0" fillId="24" borderId="11" xfId="0" applyNumberFormat="1" applyFill="1" applyBorder="1" applyAlignment="1">
      <alignment horizontal="center"/>
    </xf>
    <xf numFmtId="164" fontId="0" fillId="24" borderId="12" xfId="0" applyNumberFormat="1" applyFill="1" applyBorder="1" applyAlignment="1">
      <alignment horizontal="center"/>
    </xf>
    <xf numFmtId="2" fontId="0" fillId="0" borderId="0" xfId="0" applyNumberFormat="1" applyAlignment="1">
      <alignment horizontal="right"/>
    </xf>
    <xf numFmtId="4" fontId="0" fillId="0" borderId="20" xfId="0" applyNumberFormat="1" applyFont="1" applyBorder="1" applyAlignment="1">
      <alignment horizontal="center"/>
    </xf>
    <xf numFmtId="0" fontId="13" fillId="24" borderId="0" xfId="0" applyFont="1" applyFill="1" applyAlignment="1">
      <alignment horizontal="right"/>
    </xf>
    <xf numFmtId="164" fontId="0" fillId="0" borderId="0" xfId="0" applyNumberFormat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25" xfId="0" applyBorder="1" applyAlignment="1">
      <alignment/>
    </xf>
    <xf numFmtId="0" fontId="0" fillId="4" borderId="0" xfId="0" applyFill="1" applyBorder="1" applyAlignment="1">
      <alignment horizontal="center"/>
    </xf>
    <xf numFmtId="0" fontId="0" fillId="22" borderId="0" xfId="0" applyFill="1" applyBorder="1" applyAlignment="1">
      <alignment horizontal="center"/>
    </xf>
    <xf numFmtId="164" fontId="0" fillId="22" borderId="0" xfId="0" applyNumberFormat="1" applyFill="1" applyBorder="1" applyAlignment="1">
      <alignment horizontal="center"/>
    </xf>
    <xf numFmtId="0" fontId="0" fillId="22" borderId="0" xfId="0" applyFill="1" applyBorder="1" applyAlignment="1">
      <alignment/>
    </xf>
    <xf numFmtId="0" fontId="0" fillId="0" borderId="19" xfId="0" applyFill="1" applyBorder="1" applyAlignment="1">
      <alignment horizontal="center"/>
    </xf>
    <xf numFmtId="164" fontId="0" fillId="0" borderId="0" xfId="0" applyNumberFormat="1" applyBorder="1" applyAlignment="1">
      <alignment/>
    </xf>
    <xf numFmtId="0" fontId="11" fillId="24" borderId="0" xfId="0" applyFont="1" applyFill="1" applyAlignment="1">
      <alignment horizontal="right"/>
    </xf>
    <xf numFmtId="0" fontId="11" fillId="0" borderId="0" xfId="0" applyFont="1" applyAlignment="1">
      <alignment horizontal="right"/>
    </xf>
    <xf numFmtId="0" fontId="0" fillId="0" borderId="17" xfId="0" applyFill="1" applyBorder="1" applyAlignment="1" quotePrefix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4" fontId="0" fillId="0" borderId="0" xfId="0" applyNumberFormat="1" applyAlignment="1">
      <alignment/>
    </xf>
    <xf numFmtId="164" fontId="0" fillId="25" borderId="0" xfId="0" applyNumberFormat="1" applyFill="1" applyBorder="1" applyAlignment="1">
      <alignment horizontal="center"/>
    </xf>
    <xf numFmtId="9" fontId="0" fillId="0" borderId="0" xfId="0" applyNumberFormat="1" applyAlignment="1">
      <alignment horizontal="center"/>
    </xf>
    <xf numFmtId="178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left"/>
    </xf>
    <xf numFmtId="0" fontId="0" fillId="22" borderId="20" xfId="0" applyFill="1" applyBorder="1" applyAlignment="1">
      <alignment horizontal="center"/>
    </xf>
    <xf numFmtId="180" fontId="0" fillId="0" borderId="0" xfId="0" applyNumberFormat="1" applyFill="1" applyAlignment="1">
      <alignment horizontal="left"/>
    </xf>
    <xf numFmtId="0" fontId="18" fillId="0" borderId="0" xfId="0" applyFont="1" applyFill="1" applyAlignment="1">
      <alignment horizontal="left"/>
    </xf>
    <xf numFmtId="0" fontId="18" fillId="0" borderId="0" xfId="0" applyFont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0" xfId="0" applyFont="1" applyAlignment="1">
      <alignment horizontal="left"/>
    </xf>
    <xf numFmtId="9" fontId="0" fillId="0" borderId="0" xfId="53" applyFont="1" applyAlignment="1">
      <alignment horizontal="center"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0" fillId="10" borderId="0" xfId="0" applyFill="1" applyAlignment="1">
      <alignment/>
    </xf>
    <xf numFmtId="0" fontId="0" fillId="10" borderId="0" xfId="0" applyFill="1" applyBorder="1" applyAlignment="1">
      <alignment horizontal="center"/>
    </xf>
    <xf numFmtId="0" fontId="7" fillId="22" borderId="12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164" fontId="0" fillId="22" borderId="2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center"/>
    </xf>
    <xf numFmtId="0" fontId="7" fillId="0" borderId="29" xfId="0" applyFont="1" applyBorder="1" applyAlignment="1">
      <alignment horizontal="centerContinuous"/>
    </xf>
    <xf numFmtId="0" fontId="0" fillId="0" borderId="30" xfId="0" applyFont="1" applyBorder="1" applyAlignment="1">
      <alignment horizontal="centerContinuous"/>
    </xf>
    <xf numFmtId="0" fontId="8" fillId="0" borderId="0" xfId="0" applyFont="1" applyAlignment="1">
      <alignment horizontal="center"/>
    </xf>
    <xf numFmtId="0" fontId="0" fillId="0" borderId="29" xfId="0" applyFont="1" applyBorder="1" applyAlignment="1">
      <alignment horizontal="centerContinuous"/>
    </xf>
    <xf numFmtId="0" fontId="7" fillId="0" borderId="30" xfId="0" applyFont="1" applyBorder="1" applyAlignment="1">
      <alignment horizontal="centerContinuous"/>
    </xf>
    <xf numFmtId="0" fontId="0" fillId="0" borderId="31" xfId="0" applyFont="1" applyBorder="1" applyAlignment="1">
      <alignment horizontal="centerContinuous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1" fillId="0" borderId="0" xfId="0" applyFont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165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5" fontId="0" fillId="0" borderId="12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2" fontId="0" fillId="0" borderId="28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Alignment="1" quotePrefix="1">
      <alignment horizontal="left"/>
    </xf>
    <xf numFmtId="0" fontId="2" fillId="0" borderId="0" xfId="0" applyFont="1" applyAlignment="1" quotePrefix="1">
      <alignment horizontal="center"/>
    </xf>
    <xf numFmtId="0" fontId="0" fillId="0" borderId="28" xfId="0" applyFont="1" applyBorder="1" applyAlignment="1">
      <alignment horizontal="center"/>
    </xf>
    <xf numFmtId="164" fontId="0" fillId="0" borderId="28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0" fontId="0" fillId="0" borderId="15" xfId="0" applyFont="1" applyBorder="1" applyAlignment="1">
      <alignment horizontal="centerContinuous"/>
    </xf>
    <xf numFmtId="0" fontId="0" fillId="23" borderId="11" xfId="0" applyFont="1" applyFill="1" applyBorder="1" applyAlignment="1">
      <alignment horizontal="center"/>
    </xf>
    <xf numFmtId="0" fontId="0" fillId="23" borderId="3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9" fontId="8" fillId="22" borderId="10" xfId="53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2" fontId="0" fillId="22" borderId="10" xfId="0" applyNumberFormat="1" applyFont="1" applyFill="1" applyBorder="1" applyAlignment="1">
      <alignment horizontal="center"/>
    </xf>
    <xf numFmtId="9" fontId="8" fillId="22" borderId="11" xfId="53" applyFont="1" applyFill="1" applyBorder="1" applyAlignment="1">
      <alignment horizontal="center"/>
    </xf>
    <xf numFmtId="2" fontId="0" fillId="22" borderId="12" xfId="0" applyNumberFormat="1" applyFont="1" applyFill="1" applyBorder="1" applyAlignment="1">
      <alignment horizontal="center"/>
    </xf>
    <xf numFmtId="9" fontId="8" fillId="22" borderId="12" xfId="53" applyFont="1" applyFill="1" applyBorder="1" applyAlignment="1">
      <alignment horizontal="center"/>
    </xf>
    <xf numFmtId="3" fontId="0" fillId="0" borderId="0" xfId="0" applyNumberFormat="1" applyFont="1" applyAlignment="1">
      <alignment horizontal="center"/>
    </xf>
    <xf numFmtId="2" fontId="0" fillId="22" borderId="20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 horizontal="left"/>
    </xf>
    <xf numFmtId="0" fontId="0" fillId="3" borderId="0" xfId="0" applyFont="1" applyFill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22" borderId="18" xfId="0" applyNumberFormat="1" applyFont="1" applyFill="1" applyBorder="1" applyAlignment="1">
      <alignment horizontal="center"/>
    </xf>
    <xf numFmtId="2" fontId="0" fillId="22" borderId="19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45" xfId="0" applyNumberFormat="1" applyFont="1" applyBorder="1" applyAlignment="1">
      <alignment horizontal="center"/>
    </xf>
    <xf numFmtId="9" fontId="0" fillId="0" borderId="10" xfId="53" applyFont="1" applyBorder="1" applyAlignment="1">
      <alignment horizontal="center"/>
    </xf>
    <xf numFmtId="9" fontId="0" fillId="0" borderId="11" xfId="53" applyFont="1" applyBorder="1" applyAlignment="1">
      <alignment horizontal="center"/>
    </xf>
    <xf numFmtId="9" fontId="0" fillId="0" borderId="12" xfId="53" applyFon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172" fontId="0" fillId="0" borderId="12" xfId="0" applyNumberFormat="1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2" fontId="7" fillId="0" borderId="0" xfId="0" applyNumberFormat="1" applyFont="1" applyAlignment="1">
      <alignment horizontal="center"/>
    </xf>
    <xf numFmtId="0" fontId="8" fillId="25" borderId="20" xfId="0" applyFont="1" applyFill="1" applyBorder="1" applyAlignment="1">
      <alignment horizontal="center"/>
    </xf>
    <xf numFmtId="165" fontId="0" fillId="0" borderId="16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185" fontId="0" fillId="0" borderId="0" xfId="0" applyNumberFormat="1" applyFont="1" applyAlignment="1">
      <alignment horizontal="center"/>
    </xf>
    <xf numFmtId="184" fontId="0" fillId="22" borderId="20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0" fillId="0" borderId="0" xfId="0" applyFont="1" applyAlignment="1" quotePrefix="1">
      <alignment/>
    </xf>
    <xf numFmtId="0" fontId="4" fillId="0" borderId="0" xfId="0" applyFont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4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28" xfId="0" applyNumberFormat="1" applyBorder="1" applyAlignment="1">
      <alignment horizontal="center"/>
    </xf>
    <xf numFmtId="0" fontId="0" fillId="0" borderId="21" xfId="0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32" xfId="0" applyFill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22" xfId="0" applyFill="1" applyBorder="1" applyAlignment="1">
      <alignment horizontal="left"/>
    </xf>
    <xf numFmtId="0" fontId="0" fillId="0" borderId="18" xfId="0" applyFill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27" fillId="0" borderId="0" xfId="0" applyFont="1" applyAlignment="1">
      <alignment horizontal="right"/>
    </xf>
    <xf numFmtId="0" fontId="27" fillId="0" borderId="12" xfId="0" applyFont="1" applyBorder="1" applyAlignment="1">
      <alignment/>
    </xf>
    <xf numFmtId="0" fontId="28" fillId="0" borderId="0" xfId="0" applyFont="1" applyAlignment="1">
      <alignment horizontal="left"/>
    </xf>
    <xf numFmtId="0" fontId="14" fillId="0" borderId="20" xfId="0" applyFont="1" applyFill="1" applyBorder="1" applyAlignment="1">
      <alignment/>
    </xf>
    <xf numFmtId="0" fontId="14" fillId="0" borderId="0" xfId="0" applyFont="1" applyAlignment="1">
      <alignment/>
    </xf>
    <xf numFmtId="164" fontId="0" fillId="0" borderId="10" xfId="0" applyNumberFormat="1" applyBorder="1" applyAlignment="1">
      <alignment horizontal="center"/>
    </xf>
    <xf numFmtId="0" fontId="8" fillId="0" borderId="0" xfId="0" applyFont="1" applyAlignment="1">
      <alignment/>
    </xf>
    <xf numFmtId="0" fontId="13" fillId="0" borderId="10" xfId="0" applyFont="1" applyBorder="1" applyAlignment="1">
      <alignment horizontal="left"/>
    </xf>
    <xf numFmtId="0" fontId="13" fillId="0" borderId="10" xfId="0" applyFont="1" applyBorder="1" applyAlignment="1">
      <alignment horizontal="right"/>
    </xf>
    <xf numFmtId="0" fontId="13" fillId="0" borderId="0" xfId="0" applyFont="1" applyAlignment="1">
      <alignment horizontal="center"/>
    </xf>
    <xf numFmtId="172" fontId="0" fillId="0" borderId="10" xfId="53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164" fontId="0" fillId="0" borderId="12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right"/>
    </xf>
    <xf numFmtId="172" fontId="0" fillId="0" borderId="11" xfId="53" applyNumberFormat="1" applyFont="1" applyBorder="1" applyAlignment="1">
      <alignment horizontal="center"/>
    </xf>
    <xf numFmtId="0" fontId="0" fillId="24" borderId="0" xfId="0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10" xfId="0" applyFill="1" applyBorder="1" applyAlignment="1">
      <alignment horizontal="center"/>
    </xf>
    <xf numFmtId="0" fontId="0" fillId="22" borderId="11" xfId="0" applyFill="1" applyBorder="1" applyAlignment="1">
      <alignment horizontal="center"/>
    </xf>
    <xf numFmtId="0" fontId="7" fillId="24" borderId="0" xfId="0" applyFont="1" applyFill="1" applyAlignment="1">
      <alignment horizontal="center"/>
    </xf>
    <xf numFmtId="172" fontId="0" fillId="0" borderId="12" xfId="0" applyNumberForma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0" fillId="0" borderId="16" xfId="0" applyBorder="1" applyAlignment="1">
      <alignment horizontal="left"/>
    </xf>
    <xf numFmtId="166" fontId="0" fillId="0" borderId="20" xfId="53" applyNumberFormat="1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165" fontId="0" fillId="0" borderId="16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10" fontId="0" fillId="0" borderId="11" xfId="53" applyNumberFormat="1" applyFont="1" applyBorder="1" applyAlignment="1">
      <alignment horizontal="center"/>
    </xf>
    <xf numFmtId="172" fontId="0" fillId="22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172" fontId="0" fillId="0" borderId="11" xfId="0" applyNumberFormat="1" applyFont="1" applyFill="1" applyBorder="1" applyAlignment="1">
      <alignment horizontal="center"/>
    </xf>
    <xf numFmtId="172" fontId="0" fillId="0" borderId="20" xfId="0" applyNumberFormat="1" applyBorder="1" applyAlignment="1">
      <alignment horizontal="center"/>
    </xf>
    <xf numFmtId="0" fontId="29" fillId="0" borderId="0" xfId="0" applyFont="1" applyAlignment="1">
      <alignment horizontal="right"/>
    </xf>
    <xf numFmtId="0" fontId="29" fillId="0" borderId="0" xfId="0" applyFont="1" applyFill="1" applyAlignment="1">
      <alignment horizontal="right"/>
    </xf>
    <xf numFmtId="0" fontId="0" fillId="0" borderId="0" xfId="0" applyFont="1" applyFill="1" applyAlignment="1" quotePrefix="1">
      <alignment horizontal="left"/>
    </xf>
    <xf numFmtId="164" fontId="0" fillId="0" borderId="28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167" fontId="0" fillId="0" borderId="12" xfId="53" applyNumberFormat="1" applyFont="1" applyBorder="1" applyAlignment="1">
      <alignment horizontal="center"/>
    </xf>
    <xf numFmtId="167" fontId="0" fillId="0" borderId="11" xfId="53" applyNumberFormat="1" applyFont="1" applyBorder="1" applyAlignment="1">
      <alignment horizontal="center"/>
    </xf>
    <xf numFmtId="0" fontId="15" fillId="0" borderId="0" xfId="0" applyFont="1" applyFill="1" applyAlignment="1">
      <alignment horizontal="right"/>
    </xf>
    <xf numFmtId="0" fontId="25" fillId="0" borderId="13" xfId="0" applyFont="1" applyBorder="1" applyAlignment="1">
      <alignment horizontal="left"/>
    </xf>
    <xf numFmtId="0" fontId="18" fillId="0" borderId="15" xfId="0" applyFont="1" applyBorder="1" applyAlignment="1">
      <alignment horizontal="center"/>
    </xf>
    <xf numFmtId="0" fontId="25" fillId="0" borderId="18" xfId="0" applyFont="1" applyBorder="1" applyAlignment="1">
      <alignment horizontal="left"/>
    </xf>
    <xf numFmtId="0" fontId="18" fillId="0" borderId="19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22" borderId="11" xfId="0" applyFont="1" applyFill="1" applyBorder="1" applyAlignment="1">
      <alignment horizontal="center"/>
    </xf>
    <xf numFmtId="172" fontId="0" fillId="22" borderId="12" xfId="0" applyNumberFormat="1" applyFill="1" applyBorder="1" applyAlignment="1">
      <alignment horizontal="center"/>
    </xf>
    <xf numFmtId="0" fontId="0" fillId="0" borderId="0" xfId="0" applyAlignment="1" quotePrefix="1">
      <alignment horizontal="left"/>
    </xf>
    <xf numFmtId="0" fontId="0" fillId="25" borderId="11" xfId="0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17" xfId="0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25" xfId="0" applyFont="1" applyBorder="1" applyAlignment="1">
      <alignment horizontal="left"/>
    </xf>
    <xf numFmtId="0" fontId="0" fillId="0" borderId="19" xfId="0" applyBorder="1" applyAlignment="1">
      <alignment horizontal="right"/>
    </xf>
    <xf numFmtId="0" fontId="18" fillId="0" borderId="0" xfId="0" applyFont="1" applyAlignment="1">
      <alignment horizontal="center"/>
    </xf>
    <xf numFmtId="2" fontId="0" fillId="0" borderId="28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0" fontId="0" fillId="0" borderId="12" xfId="53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18" fillId="0" borderId="0" xfId="0" applyFont="1" applyAlignment="1">
      <alignment/>
    </xf>
    <xf numFmtId="0" fontId="25" fillId="0" borderId="0" xfId="0" applyFont="1" applyAlignment="1">
      <alignment/>
    </xf>
    <xf numFmtId="0" fontId="0" fillId="22" borderId="29" xfId="0" applyFill="1" applyBorder="1" applyAlignment="1">
      <alignment horizontal="center"/>
    </xf>
    <xf numFmtId="0" fontId="0" fillId="22" borderId="31" xfId="0" applyFill="1" applyBorder="1" applyAlignment="1">
      <alignment horizontal="center"/>
    </xf>
    <xf numFmtId="0" fontId="0" fillId="22" borderId="30" xfId="0" applyFill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186" fontId="56" fillId="0" borderId="0" xfId="0" applyNumberFormat="1" applyFont="1" applyAlignment="1">
      <alignment horizontal="right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13" fillId="0" borderId="11" xfId="0" applyFont="1" applyBorder="1" applyAlignment="1">
      <alignment horizontal="left"/>
    </xf>
    <xf numFmtId="0" fontId="13" fillId="0" borderId="11" xfId="0" applyFont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0" fillId="0" borderId="0" xfId="0" applyFill="1" applyBorder="1" applyAlignment="1" quotePrefix="1">
      <alignment horizontal="left"/>
    </xf>
    <xf numFmtId="172" fontId="0" fillId="0" borderId="0" xfId="0" applyNumberFormat="1" applyAlignment="1">
      <alignment horizontal="center"/>
    </xf>
    <xf numFmtId="165" fontId="0" fillId="25" borderId="12" xfId="0" applyNumberFormat="1" applyFill="1" applyBorder="1" applyAlignment="1">
      <alignment horizontal="center"/>
    </xf>
    <xf numFmtId="172" fontId="20" fillId="0" borderId="10" xfId="0" applyNumberFormat="1" applyFont="1" applyFill="1" applyBorder="1" applyAlignment="1">
      <alignment horizontal="center"/>
    </xf>
    <xf numFmtId="172" fontId="20" fillId="0" borderId="12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2" fontId="0" fillId="0" borderId="51" xfId="0" applyNumberFormat="1" applyFont="1" applyBorder="1" applyAlignment="1">
      <alignment horizontal="center"/>
    </xf>
    <xf numFmtId="172" fontId="0" fillId="0" borderId="51" xfId="0" applyNumberFormat="1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172" fontId="0" fillId="0" borderId="54" xfId="0" applyNumberFormat="1" applyFont="1" applyBorder="1" applyAlignment="1">
      <alignment horizontal="center"/>
    </xf>
    <xf numFmtId="164" fontId="0" fillId="22" borderId="11" xfId="0" applyNumberFormat="1" applyFill="1" applyBorder="1" applyAlignment="1">
      <alignment horizontal="center"/>
    </xf>
    <xf numFmtId="0" fontId="7" fillId="0" borderId="0" xfId="0" applyFont="1" applyFill="1" applyAlignment="1">
      <alignment/>
    </xf>
    <xf numFmtId="2" fontId="0" fillId="22" borderId="10" xfId="0" applyNumberFormat="1" applyFill="1" applyBorder="1" applyAlignment="1">
      <alignment horizontal="center"/>
    </xf>
    <xf numFmtId="165" fontId="0" fillId="0" borderId="18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171" fontId="0" fillId="22" borderId="10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Alignment="1" quotePrefix="1">
      <alignment/>
    </xf>
    <xf numFmtId="0" fontId="0" fillId="0" borderId="13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172" fontId="0" fillId="0" borderId="10" xfId="0" applyNumberFormat="1" applyBorder="1" applyAlignment="1">
      <alignment horizontal="center"/>
    </xf>
    <xf numFmtId="0" fontId="58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72" fontId="0" fillId="0" borderId="12" xfId="53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0" fillId="0" borderId="55" xfId="53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28" xfId="0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0" fontId="0" fillId="0" borderId="11" xfId="53" applyNumberFormat="1" applyFont="1" applyFill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0" fillId="25" borderId="0" xfId="0" applyFill="1" applyAlignment="1">
      <alignment/>
    </xf>
    <xf numFmtId="0" fontId="0" fillId="25" borderId="0" xfId="0" applyFill="1" applyAlignment="1">
      <alignment horizontal="right"/>
    </xf>
    <xf numFmtId="0" fontId="0" fillId="22" borderId="20" xfId="0" applyFill="1" applyBorder="1" applyAlignment="1">
      <alignment/>
    </xf>
    <xf numFmtId="2" fontId="0" fillId="0" borderId="56" xfId="0" applyNumberFormat="1" applyBorder="1" applyAlignment="1">
      <alignment horizontal="center"/>
    </xf>
    <xf numFmtId="2" fontId="0" fillId="0" borderId="57" xfId="0" applyNumberFormat="1" applyBorder="1" applyAlignment="1">
      <alignment horizontal="center"/>
    </xf>
    <xf numFmtId="2" fontId="0" fillId="0" borderId="58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0" fontId="2" fillId="0" borderId="0" xfId="0" applyFont="1" applyFill="1" applyAlignment="1">
      <alignment horizontal="center"/>
    </xf>
    <xf numFmtId="2" fontId="0" fillId="0" borderId="10" xfId="0" applyNumberForma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166" fontId="7" fillId="25" borderId="12" xfId="53" applyNumberFormat="1" applyFon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172" fontId="0" fillId="0" borderId="22" xfId="0" applyNumberFormat="1" applyBorder="1" applyAlignment="1">
      <alignment horizontal="center"/>
    </xf>
    <xf numFmtId="171" fontId="0" fillId="0" borderId="11" xfId="0" applyNumberFormat="1" applyFont="1" applyFill="1" applyBorder="1" applyAlignment="1">
      <alignment horizontal="center"/>
    </xf>
    <xf numFmtId="165" fontId="0" fillId="22" borderId="10" xfId="0" applyNumberFormat="1" applyFont="1" applyFill="1" applyBorder="1" applyAlignment="1">
      <alignment horizontal="center"/>
    </xf>
    <xf numFmtId="166" fontId="0" fillId="0" borderId="0" xfId="53" applyNumberFormat="1" applyAlignment="1">
      <alignment horizontal="center"/>
    </xf>
    <xf numFmtId="0" fontId="0" fillId="0" borderId="14" xfId="0" applyBorder="1" applyAlignment="1">
      <alignment horizontal="right"/>
    </xf>
    <xf numFmtId="165" fontId="11" fillId="0" borderId="14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165" fontId="1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164" fontId="0" fillId="0" borderId="17" xfId="0" applyNumberFormat="1" applyBorder="1" applyAlignment="1">
      <alignment horizontal="center"/>
    </xf>
    <xf numFmtId="0" fontId="0" fillId="0" borderId="25" xfId="0" applyBorder="1" applyAlignment="1">
      <alignment horizontal="right"/>
    </xf>
    <xf numFmtId="165" fontId="11" fillId="0" borderId="25" xfId="0" applyNumberFormat="1" applyFon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22" borderId="55" xfId="0" applyFill="1" applyBorder="1" applyAlignment="1">
      <alignment horizontal="center"/>
    </xf>
    <xf numFmtId="2" fontId="0" fillId="22" borderId="12" xfId="0" applyNumberFormat="1" applyFill="1" applyBorder="1" applyAlignment="1">
      <alignment horizontal="center"/>
    </xf>
    <xf numFmtId="0" fontId="2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0" fillId="0" borderId="13" xfId="0" applyBorder="1" applyAlignment="1">
      <alignment/>
    </xf>
    <xf numFmtId="0" fontId="60" fillId="0" borderId="0" xfId="0" applyFont="1" applyAlignment="1">
      <alignment horizontal="right"/>
    </xf>
    <xf numFmtId="0" fontId="18" fillId="4" borderId="59" xfId="0" applyFont="1" applyFill="1" applyBorder="1" applyAlignment="1" applyProtection="1">
      <alignment horizontal="center"/>
      <protection locked="0"/>
    </xf>
    <xf numFmtId="0" fontId="18" fillId="4" borderId="28" xfId="0" applyFont="1" applyFill="1" applyBorder="1" applyAlignment="1" applyProtection="1">
      <alignment horizontal="center"/>
      <protection locked="0"/>
    </xf>
    <xf numFmtId="0" fontId="18" fillId="4" borderId="60" xfId="0" applyFont="1" applyFill="1" applyBorder="1" applyAlignment="1" applyProtection="1">
      <alignment horizontal="center"/>
      <protection locked="0"/>
    </xf>
    <xf numFmtId="0" fontId="18" fillId="4" borderId="61" xfId="0" applyFont="1" applyFill="1" applyBorder="1" applyAlignment="1" applyProtection="1">
      <alignment horizontal="center"/>
      <protection locked="0"/>
    </xf>
    <xf numFmtId="0" fontId="18" fillId="4" borderId="11" xfId="0" applyFont="1" applyFill="1" applyBorder="1" applyAlignment="1" applyProtection="1">
      <alignment horizontal="center"/>
      <protection locked="0"/>
    </xf>
    <xf numFmtId="0" fontId="18" fillId="4" borderId="33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18" fillId="4" borderId="27" xfId="0" applyFont="1" applyFill="1" applyBorder="1" applyAlignment="1" applyProtection="1">
      <alignment horizontal="center"/>
      <protection locked="0"/>
    </xf>
    <xf numFmtId="0" fontId="18" fillId="4" borderId="62" xfId="0" applyFont="1" applyFill="1" applyBorder="1" applyAlignment="1" applyProtection="1">
      <alignment horizontal="center"/>
      <protection locked="0"/>
    </xf>
    <xf numFmtId="0" fontId="18" fillId="4" borderId="63" xfId="0" applyFont="1" applyFill="1" applyBorder="1" applyAlignment="1" applyProtection="1">
      <alignment horizontal="center"/>
      <protection locked="0"/>
    </xf>
    <xf numFmtId="0" fontId="0" fillId="4" borderId="64" xfId="0" applyFont="1" applyFill="1" applyBorder="1" applyAlignment="1" applyProtection="1">
      <alignment horizontal="left"/>
      <protection locked="0"/>
    </xf>
    <xf numFmtId="0" fontId="61" fillId="0" borderId="17" xfId="0" applyFont="1" applyBorder="1" applyAlignment="1">
      <alignment horizontal="right"/>
    </xf>
    <xf numFmtId="0" fontId="7" fillId="0" borderId="2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25" borderId="20" xfId="0" applyFont="1" applyFill="1" applyBorder="1" applyAlignment="1">
      <alignment horizontal="right"/>
    </xf>
    <xf numFmtId="0" fontId="7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9" xfId="0" applyNumberFormat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165" fontId="0" fillId="0" borderId="0" xfId="0" applyNumberFormat="1" applyAlignment="1">
      <alignment/>
    </xf>
    <xf numFmtId="165" fontId="0" fillId="0" borderId="10" xfId="0" applyNumberFormat="1" applyBorder="1" applyAlignment="1">
      <alignment horizontal="center"/>
    </xf>
    <xf numFmtId="171" fontId="0" fillId="0" borderId="12" xfId="0" applyNumberFormat="1" applyBorder="1" applyAlignment="1">
      <alignment horizontal="center"/>
    </xf>
    <xf numFmtId="171" fontId="7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165" fontId="0" fillId="0" borderId="0" xfId="0" applyNumberForma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29" xfId="0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0" fillId="0" borderId="30" xfId="0" applyBorder="1" applyAlignment="1">
      <alignment horizontal="centerContinuous"/>
    </xf>
    <xf numFmtId="0" fontId="0" fillId="0" borderId="22" xfId="0" applyBorder="1" applyAlignment="1">
      <alignment horizontal="center"/>
    </xf>
    <xf numFmtId="2" fontId="0" fillId="0" borderId="65" xfId="0" applyNumberFormat="1" applyBorder="1" applyAlignment="1">
      <alignment horizontal="center"/>
    </xf>
    <xf numFmtId="2" fontId="0" fillId="0" borderId="61" xfId="0" applyNumberFormat="1" applyBorder="1" applyAlignment="1">
      <alignment horizontal="center"/>
    </xf>
    <xf numFmtId="2" fontId="0" fillId="0" borderId="66" xfId="0" applyNumberFormat="1" applyBorder="1" applyAlignment="1">
      <alignment horizontal="center"/>
    </xf>
    <xf numFmtId="0" fontId="14" fillId="0" borderId="0" xfId="0" applyFont="1" applyAlignment="1" applyProtection="1">
      <alignment horizontal="center"/>
      <protection/>
    </xf>
    <xf numFmtId="0" fontId="0" fillId="4" borderId="23" xfId="0" applyFill="1" applyBorder="1" applyAlignment="1" applyProtection="1">
      <alignment horizontal="center"/>
      <protection locked="0"/>
    </xf>
    <xf numFmtId="0" fontId="0" fillId="4" borderId="67" xfId="0" applyFill="1" applyBorder="1" applyAlignment="1" applyProtection="1">
      <alignment horizontal="center"/>
      <protection locked="0"/>
    </xf>
    <xf numFmtId="0" fontId="0" fillId="4" borderId="67" xfId="0" applyNumberFormat="1" applyFill="1" applyBorder="1" applyAlignment="1" applyProtection="1">
      <alignment horizontal="center"/>
      <protection locked="0"/>
    </xf>
    <xf numFmtId="0" fontId="0" fillId="4" borderId="24" xfId="0" applyFill="1" applyBorder="1" applyAlignment="1" applyProtection="1">
      <alignment horizontal="center"/>
      <protection locked="0"/>
    </xf>
    <xf numFmtId="164" fontId="0" fillId="4" borderId="67" xfId="0" applyNumberFormat="1" applyFill="1" applyBorder="1" applyAlignment="1" applyProtection="1">
      <alignment horizontal="center"/>
      <protection locked="0"/>
    </xf>
    <xf numFmtId="0" fontId="0" fillId="4" borderId="26" xfId="0" applyFill="1" applyBorder="1" applyAlignment="1" applyProtection="1">
      <alignment horizontal="center"/>
      <protection locked="0"/>
    </xf>
    <xf numFmtId="0" fontId="0" fillId="4" borderId="23" xfId="0" applyNumberFormat="1" applyFill="1" applyBorder="1" applyAlignment="1" applyProtection="1">
      <alignment horizontal="center"/>
      <protection locked="0"/>
    </xf>
    <xf numFmtId="0" fontId="0" fillId="4" borderId="67" xfId="0" applyNumberFormat="1" applyFont="1" applyFill="1" applyBorder="1" applyAlignment="1" applyProtection="1">
      <alignment horizontal="center"/>
      <protection locked="0"/>
    </xf>
    <xf numFmtId="0" fontId="0" fillId="4" borderId="24" xfId="0" applyNumberFormat="1" applyFont="1" applyFill="1" applyBorder="1" applyAlignment="1" applyProtection="1">
      <alignment horizontal="center"/>
      <protection locked="0"/>
    </xf>
    <xf numFmtId="0" fontId="0" fillId="4" borderId="24" xfId="0" applyNumberFormat="1" applyFill="1" applyBorder="1" applyAlignment="1" applyProtection="1">
      <alignment horizontal="center"/>
      <protection locked="0"/>
    </xf>
    <xf numFmtId="0" fontId="0" fillId="4" borderId="59" xfId="0" applyFill="1" applyBorder="1" applyAlignment="1" applyProtection="1">
      <alignment horizontal="center"/>
      <protection locked="0"/>
    </xf>
    <xf numFmtId="0" fontId="0" fillId="4" borderId="28" xfId="0" applyFill="1" applyBorder="1" applyAlignment="1" applyProtection="1">
      <alignment horizontal="center"/>
      <protection locked="0"/>
    </xf>
    <xf numFmtId="0" fontId="0" fillId="4" borderId="60" xfId="0" applyFill="1" applyBorder="1" applyAlignment="1" applyProtection="1">
      <alignment horizontal="center"/>
      <protection locked="0"/>
    </xf>
    <xf numFmtId="0" fontId="0" fillId="4" borderId="61" xfId="0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33" xfId="0" applyFill="1" applyBorder="1" applyAlignment="1" applyProtection="1">
      <alignment horizontal="center"/>
      <protection locked="0"/>
    </xf>
    <xf numFmtId="0" fontId="0" fillId="4" borderId="62" xfId="0" applyFill="1" applyBorder="1" applyAlignment="1" applyProtection="1">
      <alignment horizontal="center"/>
      <protection locked="0"/>
    </xf>
    <xf numFmtId="0" fontId="0" fillId="4" borderId="68" xfId="0" applyFill="1" applyBorder="1" applyAlignment="1" applyProtection="1">
      <alignment horizontal="center"/>
      <protection locked="0"/>
    </xf>
    <xf numFmtId="0" fontId="0" fillId="4" borderId="69" xfId="0" applyFill="1" applyBorder="1" applyAlignment="1" applyProtection="1">
      <alignment horizontal="center"/>
      <protection locked="0"/>
    </xf>
    <xf numFmtId="0" fontId="0" fillId="4" borderId="70" xfId="0" applyFill="1" applyBorder="1" applyAlignment="1" applyProtection="1">
      <alignment horizontal="center"/>
      <protection locked="0"/>
    </xf>
    <xf numFmtId="0" fontId="0" fillId="4" borderId="64" xfId="0" applyFill="1" applyBorder="1" applyAlignment="1" applyProtection="1">
      <alignment/>
      <protection locked="0"/>
    </xf>
    <xf numFmtId="0" fontId="0" fillId="4" borderId="28" xfId="0" applyFill="1" applyBorder="1" applyAlignment="1" applyProtection="1">
      <alignment/>
      <protection locked="0"/>
    </xf>
    <xf numFmtId="0" fontId="0" fillId="4" borderId="60" xfId="0" applyFill="1" applyBorder="1" applyAlignment="1" applyProtection="1">
      <alignment/>
      <protection locked="0"/>
    </xf>
    <xf numFmtId="0" fontId="0" fillId="4" borderId="71" xfId="0" applyFill="1" applyBorder="1" applyAlignment="1" applyProtection="1">
      <alignment horizontal="center"/>
      <protection locked="0"/>
    </xf>
    <xf numFmtId="0" fontId="0" fillId="4" borderId="72" xfId="0" applyFill="1" applyBorder="1" applyAlignment="1" applyProtection="1">
      <alignment horizontal="center"/>
      <protection locked="0"/>
    </xf>
    <xf numFmtId="0" fontId="0" fillId="4" borderId="72" xfId="0" applyFill="1" applyBorder="1" applyAlignment="1" applyProtection="1">
      <alignment/>
      <protection locked="0"/>
    </xf>
    <xf numFmtId="0" fontId="0" fillId="4" borderId="73" xfId="0" applyFill="1" applyBorder="1" applyAlignment="1" applyProtection="1">
      <alignment/>
      <protection locked="0"/>
    </xf>
    <xf numFmtId="2" fontId="0" fillId="4" borderId="69" xfId="0" applyNumberFormat="1" applyFill="1" applyBorder="1" applyAlignment="1" applyProtection="1">
      <alignment horizontal="center"/>
      <protection locked="0"/>
    </xf>
    <xf numFmtId="165" fontId="0" fillId="4" borderId="74" xfId="0" applyNumberFormat="1" applyFill="1" applyBorder="1" applyAlignment="1" applyProtection="1">
      <alignment horizontal="center"/>
      <protection locked="0"/>
    </xf>
    <xf numFmtId="165" fontId="0" fillId="4" borderId="67" xfId="0" applyNumberFormat="1" applyFill="1" applyBorder="1" applyAlignment="1" applyProtection="1">
      <alignment horizontal="center"/>
      <protection locked="0"/>
    </xf>
    <xf numFmtId="165" fontId="0" fillId="4" borderId="75" xfId="0" applyNumberFormat="1" applyFill="1" applyBorder="1" applyAlignment="1" applyProtection="1">
      <alignment horizontal="center"/>
      <protection locked="0"/>
    </xf>
    <xf numFmtId="0" fontId="0" fillId="4" borderId="59" xfId="0" applyFont="1" applyFill="1" applyBorder="1" applyAlignment="1" applyProtection="1">
      <alignment horizontal="center"/>
      <protection locked="0"/>
    </xf>
    <xf numFmtId="0" fontId="0" fillId="4" borderId="28" xfId="0" applyFont="1" applyFill="1" applyBorder="1" applyAlignment="1" applyProtection="1">
      <alignment horizontal="center"/>
      <protection locked="0"/>
    </xf>
    <xf numFmtId="0" fontId="0" fillId="4" borderId="60" xfId="0" applyFont="1" applyFill="1" applyBorder="1" applyAlignment="1" applyProtection="1">
      <alignment horizontal="center"/>
      <protection locked="0"/>
    </xf>
    <xf numFmtId="0" fontId="0" fillId="4" borderId="61" xfId="0" applyFont="1" applyFill="1" applyBorder="1" applyAlignment="1" applyProtection="1">
      <alignment horizontal="center"/>
      <protection locked="0"/>
    </xf>
    <xf numFmtId="0" fontId="0" fillId="4" borderId="11" xfId="0" applyFont="1" applyFill="1" applyBorder="1" applyAlignment="1" applyProtection="1">
      <alignment horizontal="center"/>
      <protection locked="0"/>
    </xf>
    <xf numFmtId="0" fontId="0" fillId="4" borderId="33" xfId="0" applyFont="1" applyFill="1" applyBorder="1" applyAlignment="1" applyProtection="1">
      <alignment horizontal="center"/>
      <protection locked="0"/>
    </xf>
    <xf numFmtId="0" fontId="0" fillId="4" borderId="27" xfId="0" applyFont="1" applyFill="1" applyBorder="1" applyAlignment="1" applyProtection="1">
      <alignment horizontal="center"/>
      <protection locked="0"/>
    </xf>
    <xf numFmtId="0" fontId="0" fillId="4" borderId="62" xfId="0" applyFont="1" applyFill="1" applyBorder="1" applyAlignment="1" applyProtection="1">
      <alignment horizontal="center"/>
      <protection locked="0"/>
    </xf>
    <xf numFmtId="0" fontId="0" fillId="4" borderId="68" xfId="0" applyFont="1" applyFill="1" applyBorder="1" applyAlignment="1" applyProtection="1">
      <alignment horizontal="center"/>
      <protection locked="0"/>
    </xf>
    <xf numFmtId="0" fontId="0" fillId="4" borderId="27" xfId="0" applyFill="1" applyBorder="1" applyAlignment="1" applyProtection="1">
      <alignment horizontal="center"/>
      <protection locked="0"/>
    </xf>
    <xf numFmtId="0" fontId="0" fillId="4" borderId="23" xfId="0" applyFont="1" applyFill="1" applyBorder="1" applyAlignment="1" applyProtection="1">
      <alignment horizontal="center"/>
      <protection locked="0"/>
    </xf>
    <xf numFmtId="0" fontId="0" fillId="4" borderId="67" xfId="0" applyFont="1" applyFill="1" applyBorder="1" applyAlignment="1" applyProtection="1">
      <alignment horizontal="center"/>
      <protection locked="0"/>
    </xf>
    <xf numFmtId="0" fontId="0" fillId="4" borderId="24" xfId="0" applyFont="1" applyFill="1" applyBorder="1" applyAlignment="1" applyProtection="1">
      <alignment horizontal="center"/>
      <protection locked="0"/>
    </xf>
    <xf numFmtId="0" fontId="0" fillId="4" borderId="27" xfId="0" applyFont="1" applyFill="1" applyBorder="1" applyAlignment="1" applyProtection="1">
      <alignment horizontal="center"/>
      <protection locked="0"/>
    </xf>
    <xf numFmtId="165" fontId="0" fillId="4" borderId="59" xfId="0" applyNumberFormat="1" applyFill="1" applyBorder="1" applyAlignment="1" applyProtection="1">
      <alignment horizontal="center"/>
      <protection locked="0"/>
    </xf>
    <xf numFmtId="165" fontId="0" fillId="4" borderId="61" xfId="0" applyNumberFormat="1" applyFill="1" applyBorder="1" applyAlignment="1" applyProtection="1">
      <alignment horizontal="center"/>
      <protection locked="0"/>
    </xf>
    <xf numFmtId="2" fontId="0" fillId="4" borderId="11" xfId="0" applyNumberFormat="1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/>
      <protection locked="0"/>
    </xf>
    <xf numFmtId="0" fontId="0" fillId="4" borderId="33" xfId="0" applyFill="1" applyBorder="1" applyAlignment="1" applyProtection="1">
      <alignment/>
      <protection locked="0"/>
    </xf>
    <xf numFmtId="0" fontId="18" fillId="4" borderId="23" xfId="0" applyFont="1" applyFill="1" applyBorder="1" applyAlignment="1" applyProtection="1">
      <alignment horizontal="center"/>
      <protection locked="0"/>
    </xf>
    <xf numFmtId="2" fontId="0" fillId="4" borderId="67" xfId="0" applyNumberFormat="1" applyFill="1" applyBorder="1" applyAlignment="1" applyProtection="1">
      <alignment horizontal="center"/>
      <protection locked="0"/>
    </xf>
    <xf numFmtId="0" fontId="0" fillId="4" borderId="74" xfId="0" applyFill="1" applyBorder="1" applyAlignment="1" applyProtection="1">
      <alignment horizontal="center"/>
      <protection locked="0"/>
    </xf>
    <xf numFmtId="0" fontId="0" fillId="4" borderId="76" xfId="0" applyFill="1" applyBorder="1" applyAlignment="1" applyProtection="1">
      <alignment horizontal="center"/>
      <protection locked="0"/>
    </xf>
    <xf numFmtId="0" fontId="0" fillId="4" borderId="27" xfId="0" applyFill="1" applyBorder="1" applyAlignment="1" applyProtection="1">
      <alignment/>
      <protection locked="0"/>
    </xf>
    <xf numFmtId="0" fontId="0" fillId="4" borderId="62" xfId="0" applyFill="1" applyBorder="1" applyAlignment="1" applyProtection="1">
      <alignment/>
      <protection locked="0"/>
    </xf>
    <xf numFmtId="0" fontId="0" fillId="4" borderId="68" xfId="0" applyFill="1" applyBorder="1" applyAlignment="1" applyProtection="1">
      <alignment/>
      <protection locked="0"/>
    </xf>
    <xf numFmtId="0" fontId="0" fillId="4" borderId="23" xfId="0" applyFont="1" applyFill="1" applyBorder="1" applyAlignment="1" applyProtection="1">
      <alignment horizontal="center"/>
      <protection locked="0"/>
    </xf>
    <xf numFmtId="0" fontId="0" fillId="4" borderId="67" xfId="0" applyFont="1" applyFill="1" applyBorder="1" applyAlignment="1" applyProtection="1">
      <alignment horizontal="center"/>
      <protection locked="0"/>
    </xf>
    <xf numFmtId="0" fontId="0" fillId="4" borderId="24" xfId="0" applyFont="1" applyFill="1" applyBorder="1" applyAlignment="1" applyProtection="1">
      <alignment horizontal="center"/>
      <protection locked="0"/>
    </xf>
    <xf numFmtId="0" fontId="0" fillId="4" borderId="59" xfId="0" applyFont="1" applyFill="1" applyBorder="1" applyAlignment="1" applyProtection="1">
      <alignment horizontal="center"/>
      <protection locked="0"/>
    </xf>
    <xf numFmtId="0" fontId="0" fillId="4" borderId="74" xfId="0" applyFont="1" applyFill="1" applyBorder="1" applyAlignment="1" applyProtection="1">
      <alignment horizontal="center"/>
      <protection locked="0"/>
    </xf>
    <xf numFmtId="0" fontId="0" fillId="4" borderId="61" xfId="0" applyFont="1" applyFill="1" applyBorder="1" applyAlignment="1" applyProtection="1">
      <alignment horizontal="center"/>
      <protection locked="0"/>
    </xf>
    <xf numFmtId="0" fontId="0" fillId="4" borderId="76" xfId="0" applyFont="1" applyFill="1" applyBorder="1" applyAlignment="1" applyProtection="1">
      <alignment horizontal="center"/>
      <protection locked="0"/>
    </xf>
    <xf numFmtId="0" fontId="0" fillId="4" borderId="75" xfId="0" applyFont="1" applyFill="1" applyBorder="1" applyAlignment="1" applyProtection="1">
      <alignment horizontal="center"/>
      <protection locked="0"/>
    </xf>
    <xf numFmtId="0" fontId="0" fillId="4" borderId="28" xfId="0" applyFont="1" applyFill="1" applyBorder="1" applyAlignment="1" applyProtection="1">
      <alignment horizontal="center"/>
      <protection locked="0"/>
    </xf>
    <xf numFmtId="0" fontId="0" fillId="4" borderId="11" xfId="0" applyFont="1" applyFill="1" applyBorder="1" applyAlignment="1" applyProtection="1">
      <alignment horizontal="center"/>
      <protection locked="0"/>
    </xf>
    <xf numFmtId="0" fontId="0" fillId="4" borderId="62" xfId="0" applyFont="1" applyFill="1" applyBorder="1" applyAlignment="1" applyProtection="1">
      <alignment horizontal="center"/>
      <protection locked="0"/>
    </xf>
    <xf numFmtId="0" fontId="0" fillId="4" borderId="60" xfId="0" applyFont="1" applyFill="1" applyBorder="1" applyAlignment="1" applyProtection="1">
      <alignment horizontal="center"/>
      <protection locked="0"/>
    </xf>
    <xf numFmtId="0" fontId="0" fillId="4" borderId="68" xfId="0" applyFont="1" applyFill="1" applyBorder="1" applyAlignment="1" applyProtection="1">
      <alignment horizontal="center"/>
      <protection locked="0"/>
    </xf>
    <xf numFmtId="0" fontId="0" fillId="0" borderId="77" xfId="0" applyFont="1" applyBorder="1" applyAlignment="1">
      <alignment horizontal="center"/>
    </xf>
    <xf numFmtId="182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61" fillId="0" borderId="0" xfId="0" applyFont="1" applyAlignment="1">
      <alignment horizontal="right"/>
    </xf>
    <xf numFmtId="0" fontId="0" fillId="0" borderId="61" xfId="0" applyBorder="1" applyAlignment="1">
      <alignment horizontal="center"/>
    </xf>
    <xf numFmtId="0" fontId="0" fillId="4" borderId="60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4" borderId="61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59" xfId="0" applyFill="1" applyBorder="1" applyAlignment="1">
      <alignment horizontal="center"/>
    </xf>
    <xf numFmtId="0" fontId="0" fillId="4" borderId="68" xfId="0" applyFill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9">
    <dxf>
      <font>
        <b/>
        <i val="0"/>
        <color indexed="10"/>
      </font>
    </dxf>
    <dxf>
      <font>
        <b/>
        <i val="0"/>
        <color indexed="10"/>
      </font>
    </dxf>
    <dxf>
      <font>
        <color indexed="2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Coefficient de remplissage r en fonction de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e</a:t>
            </a:r>
            <a:r>
              <a:rPr lang="en-US" cap="none" sz="8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c</a:t>
            </a:r>
          </a:p>
        </c:rich>
      </c:tx>
      <c:layout>
        <c:manualLayout>
          <c:xMode val="factor"/>
          <c:yMode val="factor"/>
          <c:x val="0.108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4"/>
          <c:w val="0.9715"/>
          <c:h val="0.82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Choix!$S$151</c:f>
              <c:strCache>
                <c:ptCount val="1"/>
                <c:pt idx="0">
                  <c:v>PR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Choix!$R$152:$R$169</c:f>
              <c:numCache/>
            </c:numRef>
          </c:xVal>
          <c:yVal>
            <c:numRef>
              <c:f>Choix!$S$152:$S$169</c:f>
              <c:numCache/>
            </c:numRef>
          </c:yVal>
          <c:smooth val="1"/>
        </c:ser>
        <c:ser>
          <c:idx val="1"/>
          <c:order val="1"/>
          <c:tx>
            <c:strRef>
              <c:f>Choix!$T$151</c:f>
              <c:strCache>
                <c:ptCount val="1"/>
                <c:pt idx="0">
                  <c:v>Sargin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Choix!$R$152:$R$169</c:f>
              <c:numCache/>
            </c:numRef>
          </c:xVal>
          <c:yVal>
            <c:numRef>
              <c:f>Choix!$T$152:$T$169</c:f>
              <c:numCache/>
            </c:numRef>
          </c:yVal>
          <c:smooth val="1"/>
        </c:ser>
        <c:ser>
          <c:idx val="2"/>
          <c:order val="2"/>
          <c:tx>
            <c:strRef>
              <c:f>Choix!$U$151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Choix!$R$152:$R$169</c:f>
              <c:numCache/>
            </c:numRef>
          </c:xVal>
          <c:yVal>
            <c:numRef>
              <c:f>Choix!$U$152:$U$169</c:f>
              <c:numCache/>
            </c:numRef>
          </c:yVal>
          <c:smooth val="1"/>
        </c:ser>
        <c:axId val="54191886"/>
        <c:axId val="17964927"/>
      </c:scatterChart>
      <c:valAx>
        <c:axId val="54191886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64927"/>
        <c:crosses val="autoZero"/>
        <c:crossBetween val="midCat"/>
        <c:dispUnits/>
        <c:majorUnit val="0.5"/>
      </c:valAx>
      <c:valAx>
        <c:axId val="1796492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918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225"/>
          <c:y val="0.08225"/>
          <c:w val="0.84425"/>
          <c:h val="0.0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Dérivée y'</a:t>
            </a:r>
          </a:p>
        </c:rich>
      </c:tx>
      <c:layout>
        <c:manualLayout>
          <c:xMode val="factor"/>
          <c:yMode val="factor"/>
          <c:x val="0.416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07125"/>
          <c:w val="0.94125"/>
          <c:h val="0.90875"/>
        </c:manualLayout>
      </c:layout>
      <c:scatterChart>
        <c:scatterStyle val="smooth"/>
        <c:varyColors val="0"/>
        <c:ser>
          <c:idx val="1"/>
          <c:order val="0"/>
          <c:tx>
            <c:strRef>
              <c:f>Choix!$D$650</c:f>
              <c:strCache>
                <c:ptCount val="1"/>
                <c:pt idx="0">
                  <c:v>y'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Choix!$B$651:$B$670</c:f>
              <c:numCache/>
            </c:numRef>
          </c:xVal>
          <c:yVal>
            <c:numRef>
              <c:f>Choix!$D$651:$D$670</c:f>
              <c:numCache/>
            </c:numRef>
          </c:yVal>
          <c:smooth val="1"/>
        </c:ser>
        <c:axId val="2862920"/>
        <c:axId val="25766281"/>
      </c:scatterChart>
      <c:valAx>
        <c:axId val="2862920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766281"/>
        <c:crosses val="autoZero"/>
        <c:crossBetween val="midCat"/>
        <c:dispUnits/>
      </c:valAx>
      <c:valAx>
        <c:axId val="2576628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629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Epure des barres avec décalage a</a:t>
            </a:r>
            <a:r>
              <a:rPr lang="en-US" cap="none" sz="8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l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inclus  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3875"/>
          <c:w val="0.86125"/>
          <c:h val="0.95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'Epure&amp;flèche'!$AB$74</c:f>
              <c:strCache>
                <c:ptCount val="1"/>
                <c:pt idx="0">
                  <c:v>Asprov,inf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'Epure&amp;flèche'!$AA$75:$AA$175</c:f>
              <c:numCache/>
            </c:numRef>
          </c:xVal>
          <c:yVal>
            <c:numRef>
              <c:f>'Epure&amp;flèche'!$AB$75:$AB$175</c:f>
              <c:numCache/>
            </c:numRef>
          </c:yVal>
          <c:smooth val="0"/>
        </c:ser>
        <c:ser>
          <c:idx val="1"/>
          <c:order val="1"/>
          <c:tx>
            <c:strRef>
              <c:f>'Epure&amp;flèche'!$AC$74</c:f>
              <c:strCache>
                <c:ptCount val="1"/>
                <c:pt idx="0">
                  <c:v>Asprov,sup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'Epure&amp;flèche'!$AA$75:$AA$175</c:f>
              <c:numCache/>
            </c:numRef>
          </c:xVal>
          <c:yVal>
            <c:numRef>
              <c:f>'Epure&amp;flèche'!$AC$75:$AC$175</c:f>
              <c:numCache/>
            </c:numRef>
          </c:yVal>
          <c:smooth val="0"/>
        </c:ser>
        <c:ser>
          <c:idx val="2"/>
          <c:order val="2"/>
          <c:tx>
            <c:strRef>
              <c:f>'Epure&amp;flèche'!$AD$74</c:f>
              <c:strCache>
                <c:ptCount val="1"/>
                <c:pt idx="0">
                  <c:v>As,rqd,inf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'Epure&amp;flèche'!$AA$75:$AA$175</c:f>
              <c:numCache/>
            </c:numRef>
          </c:xVal>
          <c:yVal>
            <c:numRef>
              <c:f>'Epure&amp;flèche'!$AD$75:$AD$175</c:f>
              <c:numCache/>
            </c:numRef>
          </c:yVal>
          <c:smooth val="0"/>
        </c:ser>
        <c:ser>
          <c:idx val="3"/>
          <c:order val="3"/>
          <c:tx>
            <c:strRef>
              <c:f>'Epure&amp;flèche'!$AE$74</c:f>
              <c:strCache>
                <c:ptCount val="1"/>
                <c:pt idx="0">
                  <c:v>As,rqd,sup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'Epure&amp;flèche'!$AA$75:$AA$175</c:f>
              <c:numCache/>
            </c:numRef>
          </c:xVal>
          <c:yVal>
            <c:numRef>
              <c:f>'Epure&amp;flèche'!$AE$75:$AE$175</c:f>
              <c:numCache/>
            </c:numRef>
          </c:yVal>
          <c:smooth val="0"/>
        </c:ser>
        <c:axId val="30569938"/>
        <c:axId val="6693987"/>
      </c:scatterChart>
      <c:valAx>
        <c:axId val="30569938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3987"/>
        <c:crosses val="autoZero"/>
        <c:crossBetween val="midCat"/>
        <c:dispUnits/>
        <c:majorUnit val="0.2"/>
      </c:valAx>
      <c:valAx>
        <c:axId val="6693987"/>
        <c:scaling>
          <c:orientation val="maxMin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699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"/>
          <c:y val="0.45725"/>
          <c:w val="0.09025"/>
          <c:h val="0.1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425"/>
          <c:w val="1"/>
          <c:h val="0.91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'Epure&amp;flèche'!$Z$6</c:f>
              <c:strCache>
                <c:ptCount val="1"/>
                <c:pt idx="0">
                  <c:v>Ainf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'Epure&amp;flèche'!$Y$7:$Y$38</c:f>
              <c:numCache/>
            </c:numRef>
          </c:xVal>
          <c:yVal>
            <c:numRef>
              <c:f>'Epure&amp;flèche'!$Z$7:$Z$38</c:f>
              <c:numCache/>
            </c:numRef>
          </c:yVal>
          <c:smooth val="0"/>
        </c:ser>
        <c:ser>
          <c:idx val="1"/>
          <c:order val="1"/>
          <c:tx>
            <c:strRef>
              <c:f>'Epure&amp;flèche'!$AA$6</c:f>
              <c:strCache>
                <c:ptCount val="1"/>
                <c:pt idx="0">
                  <c:v>Asup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'Epure&amp;flèche'!$Y$7:$Y$38</c:f>
              <c:numCache/>
            </c:numRef>
          </c:xVal>
          <c:yVal>
            <c:numRef>
              <c:f>'Epure&amp;flèche'!$AA$7:$AA$38</c:f>
              <c:numCache/>
            </c:numRef>
          </c:yVal>
          <c:smooth val="0"/>
        </c:ser>
        <c:ser>
          <c:idx val="2"/>
          <c:order val="2"/>
          <c:tx>
            <c:strRef>
              <c:f>'Epure&amp;flèche'!$AB$6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'Epure&amp;flèche'!$Y$7:$Y$38</c:f>
              <c:numCache/>
            </c:numRef>
          </c:xVal>
          <c:yVal>
            <c:numRef>
              <c:f>'Epure&amp;flèche'!$AB$7:$AB$38</c:f>
              <c:numCache/>
            </c:numRef>
          </c:yVal>
          <c:smooth val="0"/>
        </c:ser>
        <c:axId val="60245884"/>
        <c:axId val="5342045"/>
      </c:scatterChart>
      <c:valAx>
        <c:axId val="6024588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2045"/>
        <c:crosses val="autoZero"/>
        <c:crossBetween val="midCat"/>
        <c:dispUnits/>
        <c:majorUnit val="0.5"/>
      </c:valAx>
      <c:valAx>
        <c:axId val="53420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458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775"/>
          <c:y val="0"/>
          <c:w val="0.32225"/>
          <c:h val="0.0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Moments (kNm)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365"/>
          <c:w val="0.87825"/>
          <c:h val="0.9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'Epure&amp;flèche'!$AF$28</c:f>
              <c:strCache>
                <c:ptCount val="1"/>
                <c:pt idx="0">
                  <c:v>MELS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'Epure&amp;flèche'!$AE$29:$AE$70</c:f>
              <c:numCache/>
            </c:numRef>
          </c:xVal>
          <c:yVal>
            <c:numRef>
              <c:f>'Epure&amp;flèche'!$AF$29:$AF$70</c:f>
              <c:numCache/>
            </c:numRef>
          </c:yVal>
          <c:smooth val="0"/>
        </c:ser>
        <c:ser>
          <c:idx val="1"/>
          <c:order val="1"/>
          <c:tx>
            <c:strRef>
              <c:f>'Epure&amp;flèche'!$AG$28</c:f>
              <c:strCache>
                <c:ptCount val="1"/>
                <c:pt idx="0">
                  <c:v>MELU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'Epure&amp;flèche'!$AE$29:$AE$70</c:f>
              <c:numCache/>
            </c:numRef>
          </c:xVal>
          <c:yVal>
            <c:numRef>
              <c:f>'Epure&amp;flèche'!$AG$29:$AG$70</c:f>
              <c:numCache/>
            </c:numRef>
          </c:yVal>
          <c:smooth val="0"/>
        </c:ser>
        <c:ser>
          <c:idx val="2"/>
          <c:order val="2"/>
          <c:tx>
            <c:strRef>
              <c:f>'Epure&amp;flèche'!$AH$28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'Epure&amp;flèche'!$AE$29:$AE$70</c:f>
              <c:numCache/>
            </c:numRef>
          </c:xVal>
          <c:yVal>
            <c:numRef>
              <c:f>'Epure&amp;flèche'!$AH$29:$AH$70</c:f>
              <c:numCache/>
            </c:numRef>
          </c:yVal>
          <c:smooth val="0"/>
        </c:ser>
        <c:ser>
          <c:idx val="3"/>
          <c:order val="3"/>
          <c:tx>
            <c:strRef>
              <c:f>'Epure&amp;flèche'!$AI$28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'Epure&amp;flèche'!$AE$29:$AE$70</c:f>
              <c:numCache/>
            </c:numRef>
          </c:xVal>
          <c:yVal>
            <c:numRef>
              <c:f>'Epure&amp;flèche'!$AI$29:$AI$70</c:f>
              <c:numCache/>
            </c:numRef>
          </c:yVal>
          <c:smooth val="0"/>
        </c:ser>
        <c:ser>
          <c:idx val="4"/>
          <c:order val="4"/>
          <c:tx>
            <c:strRef>
              <c:f>'Epure&amp;flèche'!$AJ$28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'Epure&amp;flèche'!$AE$29:$AE$70</c:f>
              <c:numCache/>
            </c:numRef>
          </c:xVal>
          <c:yVal>
            <c:numRef>
              <c:f>'Epure&amp;flèche'!$AJ$29:$AJ$70</c:f>
              <c:numCache/>
            </c:numRef>
          </c:yVal>
          <c:smooth val="0"/>
        </c:ser>
        <c:axId val="48078406"/>
        <c:axId val="30052471"/>
      </c:scatterChart>
      <c:valAx>
        <c:axId val="48078406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52471"/>
        <c:crosses val="autoZero"/>
        <c:crossBetween val="midCat"/>
        <c:dispUnits/>
        <c:majorUnit val="0.5"/>
      </c:valAx>
      <c:valAx>
        <c:axId val="30052471"/>
        <c:scaling>
          <c:orientation val="maxMin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784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5"/>
          <c:y val="0.41525"/>
          <c:w val="0.11475"/>
          <c:h val="0.2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Moment résistant en fonction de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e</a:t>
            </a:r>
            <a:r>
              <a:rPr lang="en-US" cap="none" sz="8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s</a:t>
            </a:r>
          </a:p>
        </c:rich>
      </c:tx>
      <c:layout>
        <c:manualLayout>
          <c:xMode val="factor"/>
          <c:yMode val="factor"/>
          <c:x val="0.054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25"/>
          <c:y val="0.03525"/>
          <c:w val="0.99825"/>
          <c:h val="0.959"/>
        </c:manualLayout>
      </c:layout>
      <c:scatterChart>
        <c:scatterStyle val="lineMarker"/>
        <c:varyColors val="0"/>
        <c:ser>
          <c:idx val="0"/>
          <c:order val="0"/>
          <c:tx>
            <c:strRef>
              <c:f>Choix!$H$79</c:f>
              <c:strCache>
                <c:ptCount val="1"/>
                <c:pt idx="0">
                  <c:v>MR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Choix!$G$80:$G$131</c:f>
              <c:numCache/>
            </c:numRef>
          </c:xVal>
          <c:yVal>
            <c:numRef>
              <c:f>Choix!$H$80:$H$131</c:f>
              <c:numCache/>
            </c:numRef>
          </c:yVal>
          <c:smooth val="0"/>
        </c:ser>
        <c:ser>
          <c:idx val="1"/>
          <c:order val="1"/>
          <c:tx>
            <c:strRef>
              <c:f>Choix!$I$79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Choix!$G$80:$G$131</c:f>
              <c:numCache/>
            </c:numRef>
          </c:xVal>
          <c:yVal>
            <c:numRef>
              <c:f>Choix!$I$80:$I$131</c:f>
              <c:numCache/>
            </c:numRef>
          </c:yVal>
          <c:smooth val="0"/>
        </c:ser>
        <c:axId val="27466616"/>
        <c:axId val="45872953"/>
      </c:scatterChart>
      <c:valAx>
        <c:axId val="2746661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72953"/>
        <c:crosses val="autoZero"/>
        <c:crossBetween val="midCat"/>
        <c:dispUnits/>
        <c:majorUnit val="2"/>
      </c:valAx>
      <c:valAx>
        <c:axId val="458729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666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26"/>
          <c:w val="0.86725"/>
          <c:h val="0.949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Choix!$AG$234</c:f>
              <c:strCache>
                <c:ptCount val="1"/>
                <c:pt idx="0">
                  <c:v>Mcas 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Choix!$AF$235:$AF$383</c:f>
              <c:numCache/>
            </c:numRef>
          </c:xVal>
          <c:yVal>
            <c:numRef>
              <c:f>Choix!$AG$235:$AG$383</c:f>
              <c:numCache/>
            </c:numRef>
          </c:yVal>
          <c:smooth val="1"/>
        </c:ser>
        <c:ser>
          <c:idx val="1"/>
          <c:order val="1"/>
          <c:tx>
            <c:strRef>
              <c:f>Choix!$AH$234</c:f>
              <c:strCache>
                <c:ptCount val="1"/>
                <c:pt idx="0">
                  <c:v>Mcas 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Choix!$AF$235:$AF$383</c:f>
              <c:numCache/>
            </c:numRef>
          </c:xVal>
          <c:yVal>
            <c:numRef>
              <c:f>Choix!$AH$235:$AH$383</c:f>
              <c:numCache/>
            </c:numRef>
          </c:yVal>
          <c:smooth val="1"/>
        </c:ser>
        <c:ser>
          <c:idx val="2"/>
          <c:order val="2"/>
          <c:tx>
            <c:strRef>
              <c:f>Choix!$AI$234</c:f>
              <c:strCache>
                <c:ptCount val="1"/>
                <c:pt idx="0">
                  <c:v>Mcas 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Choix!$AF$235:$AF$383</c:f>
              <c:numCache/>
            </c:numRef>
          </c:xVal>
          <c:yVal>
            <c:numRef>
              <c:f>Choix!$AI$235:$AI$383</c:f>
              <c:numCache/>
            </c:numRef>
          </c:yVal>
          <c:smooth val="1"/>
        </c:ser>
        <c:ser>
          <c:idx val="3"/>
          <c:order val="3"/>
          <c:tx>
            <c:strRef>
              <c:f>Choix!$AJ$234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Choix!$AF$235:$AF$383</c:f>
              <c:numCache/>
            </c:numRef>
          </c:xVal>
          <c:yVal>
            <c:numRef>
              <c:f>Choix!$AJ$235:$AJ$383</c:f>
              <c:numCache/>
            </c:numRef>
          </c:yVal>
          <c:smooth val="1"/>
        </c:ser>
        <c:ser>
          <c:idx val="4"/>
          <c:order val="4"/>
          <c:tx>
            <c:strRef>
              <c:f>Choix!$AK$234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Choix!$AF$235:$AF$383</c:f>
              <c:numCache/>
            </c:numRef>
          </c:xVal>
          <c:yVal>
            <c:numRef>
              <c:f>Choix!$AK$235:$AK$383</c:f>
              <c:numCache/>
            </c:numRef>
          </c:yVal>
          <c:smooth val="1"/>
        </c:ser>
        <c:ser>
          <c:idx val="5"/>
          <c:order val="5"/>
          <c:tx>
            <c:strRef>
              <c:f>Choix!$AL$234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Choix!$AF$235:$AF$383</c:f>
              <c:numCache/>
            </c:numRef>
          </c:xVal>
          <c:yVal>
            <c:numRef>
              <c:f>Choix!$AL$235:$AL$383</c:f>
              <c:numCache/>
            </c:numRef>
          </c:yVal>
          <c:smooth val="1"/>
        </c:ser>
        <c:ser>
          <c:idx val="6"/>
          <c:order val="6"/>
          <c:tx>
            <c:strRef>
              <c:f>Choix!$AM$234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Choix!$AF$235:$AF$383</c:f>
              <c:numCache/>
            </c:numRef>
          </c:xVal>
          <c:yVal>
            <c:numRef>
              <c:f>Choix!$AM$235:$AM$383</c:f>
              <c:numCache/>
            </c:numRef>
          </c:yVal>
          <c:smooth val="1"/>
        </c:ser>
        <c:ser>
          <c:idx val="7"/>
          <c:order val="7"/>
          <c:tx>
            <c:strRef>
              <c:f>Choix!$AN$234</c:f>
              <c:strCache>
                <c:ptCount val="1"/>
                <c:pt idx="0">
                  <c:v>nus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Choix!$AF$235:$AF$383</c:f>
              <c:numCache/>
            </c:numRef>
          </c:xVal>
          <c:yVal>
            <c:numRef>
              <c:f>Choix!$AN$235:$AN$383</c:f>
              <c:numCache/>
            </c:numRef>
          </c:yVal>
          <c:smooth val="1"/>
        </c:ser>
        <c:ser>
          <c:idx val="8"/>
          <c:order val="8"/>
          <c:tx>
            <c:strRef>
              <c:f>Choix!$AO$234</c:f>
              <c:strCache>
                <c:ptCount val="1"/>
                <c:pt idx="0">
                  <c:v>axes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Choix!$AF$235:$AF$383</c:f>
              <c:numCache/>
            </c:numRef>
          </c:xVal>
          <c:yVal>
            <c:numRef>
              <c:f>Choix!$AO$235:$AO$383</c:f>
              <c:numCache/>
            </c:numRef>
          </c:yVal>
          <c:smooth val="1"/>
        </c:ser>
        <c:ser>
          <c:idx val="9"/>
          <c:order val="9"/>
          <c:tx>
            <c:strRef>
              <c:f>Choix!$AP$234</c:f>
              <c:strCache>
                <c:ptCount val="1"/>
                <c:pt idx="0">
                  <c:v>appuis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Choix!$AF$235:$AF$383</c:f>
              <c:numCache/>
            </c:numRef>
          </c:xVal>
          <c:yVal>
            <c:numRef>
              <c:f>Choix!$AP$235:$AP$383</c:f>
              <c:numCache/>
            </c:numRef>
          </c:yVal>
          <c:smooth val="1"/>
        </c:ser>
        <c:ser>
          <c:idx val="10"/>
          <c:order val="10"/>
          <c:tx>
            <c:strRef>
              <c:f>Choix!$AQ$234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Choix!$AF$235:$AF$383</c:f>
              <c:numCache/>
            </c:numRef>
          </c:xVal>
          <c:yVal>
            <c:numRef>
              <c:f>Choix!$AQ$235:$AQ$383</c:f>
              <c:numCache/>
            </c:numRef>
          </c:yVal>
          <c:smooth val="1"/>
        </c:ser>
        <c:axId val="10203394"/>
        <c:axId val="24721683"/>
      </c:scatterChart>
      <c:valAx>
        <c:axId val="10203394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21683"/>
        <c:crosses val="autoZero"/>
        <c:crossBetween val="midCat"/>
        <c:dispUnits/>
        <c:majorUnit val="1"/>
      </c:valAx>
      <c:valAx>
        <c:axId val="24721683"/>
        <c:scaling>
          <c:orientation val="maxMin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033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25775"/>
          <c:w val="0.0985"/>
          <c:h val="0.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Pour le cas 1, en fonction du moment M</a:t>
            </a:r>
          </a:p>
        </c:rich>
      </c:tx>
      <c:layout>
        <c:manualLayout>
          <c:xMode val="factor"/>
          <c:yMode val="factor"/>
          <c:x val="0.005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555"/>
          <c:w val="0.96225"/>
          <c:h val="0.844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Choix!$C$334</c:f>
              <c:strCache>
                <c:ptCount val="1"/>
                <c:pt idx="0">
                  <c:v>As (cm2)-R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Choix!$B$335:$B$393</c:f>
              <c:numCache/>
            </c:numRef>
          </c:xVal>
          <c:yVal>
            <c:numRef>
              <c:f>Choix!$C$335:$C$393</c:f>
              <c:numCache/>
            </c:numRef>
          </c:yVal>
          <c:smooth val="0"/>
        </c:ser>
        <c:ser>
          <c:idx val="1"/>
          <c:order val="1"/>
          <c:tx>
            <c:strRef>
              <c:f>Choix!$D$334</c:f>
              <c:strCache>
                <c:ptCount val="1"/>
                <c:pt idx="0">
                  <c:v>As (cm2)-PR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Choix!$B$335:$B$393</c:f>
              <c:numCache/>
            </c:numRef>
          </c:xVal>
          <c:yVal>
            <c:numRef>
              <c:f>Choix!$D$335:$D$393</c:f>
              <c:numCache/>
            </c:numRef>
          </c:yVal>
          <c:smooth val="0"/>
        </c:ser>
        <c:ser>
          <c:idx val="2"/>
          <c:order val="2"/>
          <c:tx>
            <c:strRef>
              <c:f>Choix!$E$334</c:f>
              <c:strCache>
                <c:ptCount val="1"/>
                <c:pt idx="0">
                  <c:v>As (cm2)-Sargin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Choix!$B$335:$B$393</c:f>
              <c:numCache/>
            </c:numRef>
          </c:xVal>
          <c:yVal>
            <c:numRef>
              <c:f>Choix!$E$335:$E$393</c:f>
              <c:numCache/>
            </c:numRef>
          </c:yVal>
          <c:smooth val="0"/>
        </c:ser>
        <c:ser>
          <c:idx val="3"/>
          <c:order val="3"/>
          <c:tx>
            <c:strRef>
              <c:f>Choix!$F$334</c:f>
              <c:strCache>
                <c:ptCount val="1"/>
                <c:pt idx="0">
                  <c:v>pour es=fyd/200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Choix!$B$335:$B$393</c:f>
              <c:numCache/>
            </c:numRef>
          </c:xVal>
          <c:yVal>
            <c:numRef>
              <c:f>Choix!$F$335:$F$393</c:f>
              <c:numCache/>
            </c:numRef>
          </c:yVal>
          <c:smooth val="0"/>
        </c:ser>
        <c:ser>
          <c:idx val="4"/>
          <c:order val="4"/>
          <c:tx>
            <c:strRef>
              <c:f>Choix!$F$332</c:f>
              <c:strCache>
                <c:ptCount val="1"/>
                <c:pt idx="0">
                  <c:v>M = 35,5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Choix!$B$335:$B$393</c:f>
              <c:numCache/>
            </c:numRef>
          </c:xVal>
          <c:yVal>
            <c:numRef>
              <c:f>Choix!$G$335:$G$393</c:f>
              <c:numCache/>
            </c:numRef>
          </c:yVal>
          <c:smooth val="0"/>
        </c:ser>
        <c:axId val="21168556"/>
        <c:axId val="56299277"/>
      </c:scatterChart>
      <c:valAx>
        <c:axId val="21168556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99277"/>
        <c:crosses val="autoZero"/>
        <c:crossBetween val="midCat"/>
        <c:dispUnits/>
      </c:valAx>
      <c:valAx>
        <c:axId val="5629927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685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5"/>
          <c:y val="0.06775"/>
          <c:w val="0.649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Distance relative de la résultante de compression du béton à la fibre supérieure fonction de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e</a:t>
            </a:r>
            <a:r>
              <a:rPr lang="en-US" cap="none" sz="8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c</a:t>
            </a:r>
          </a:p>
        </c:rich>
      </c:tx>
      <c:layout>
        <c:manualLayout>
          <c:xMode val="factor"/>
          <c:yMode val="factor"/>
          <c:x val="-0.0867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4"/>
          <c:w val="1"/>
          <c:h val="0.81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Choix!$X$151</c:f>
              <c:strCache>
                <c:ptCount val="1"/>
                <c:pt idx="0">
                  <c:v>PR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Choix!$W$152:$W$169</c:f>
              <c:numCache/>
            </c:numRef>
          </c:xVal>
          <c:yVal>
            <c:numRef>
              <c:f>Choix!$X$152:$X$169</c:f>
              <c:numCache/>
            </c:numRef>
          </c:yVal>
          <c:smooth val="1"/>
        </c:ser>
        <c:ser>
          <c:idx val="1"/>
          <c:order val="1"/>
          <c:tx>
            <c:strRef>
              <c:f>Choix!$Y$151</c:f>
              <c:strCache>
                <c:ptCount val="1"/>
                <c:pt idx="0">
                  <c:v>Sargin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Choix!$W$152:$W$169</c:f>
              <c:numCache/>
            </c:numRef>
          </c:xVal>
          <c:yVal>
            <c:numRef>
              <c:f>Choix!$Y$152:$Y$169</c:f>
              <c:numCache/>
            </c:numRef>
          </c:yVal>
          <c:smooth val="1"/>
        </c:ser>
        <c:ser>
          <c:idx val="2"/>
          <c:order val="2"/>
          <c:tx>
            <c:strRef>
              <c:f>Choix!$Z$151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Choix!$W$152:$W$169</c:f>
              <c:numCache/>
            </c:numRef>
          </c:xVal>
          <c:yVal>
            <c:numRef>
              <c:f>Choix!$Z$152:$Z$169</c:f>
              <c:numCache/>
            </c:numRef>
          </c:yVal>
          <c:smooth val="1"/>
        </c:ser>
        <c:axId val="36931446"/>
        <c:axId val="63947559"/>
      </c:scatterChart>
      <c:valAx>
        <c:axId val="3693144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47559"/>
        <c:crosses val="autoZero"/>
        <c:crossBetween val="midCat"/>
        <c:dispUnits/>
        <c:majorUnit val="0.5"/>
      </c:valAx>
      <c:valAx>
        <c:axId val="63947559"/>
        <c:scaling>
          <c:orientation val="minMax"/>
          <c:min val="0.3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31446"/>
        <c:crosses val="autoZero"/>
        <c:crossBetween val="midCat"/>
        <c:dispUnits/>
        <c:majorUnit val="0.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925"/>
          <c:y val="0.09175"/>
          <c:w val="0.528"/>
          <c:h val="0.09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Choix!$AD$25</c:f>
              <c:strCache>
                <c:ptCount val="1"/>
                <c:pt idx="0">
                  <c:v>béton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Choix!$AC$26:$AC$40</c:f>
              <c:numCache/>
            </c:numRef>
          </c:xVal>
          <c:yVal>
            <c:numRef>
              <c:f>Choix!$AD$26:$AD$40</c:f>
              <c:numCache/>
            </c:numRef>
          </c:yVal>
          <c:smooth val="0"/>
        </c:ser>
        <c:ser>
          <c:idx val="1"/>
          <c:order val="1"/>
          <c:tx>
            <c:strRef>
              <c:f>Choix!$AE$25</c:f>
              <c:strCache>
                <c:ptCount val="1"/>
                <c:pt idx="0">
                  <c:v>acier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Choix!$AC$26:$AC$40</c:f>
              <c:numCache/>
            </c:numRef>
          </c:xVal>
          <c:yVal>
            <c:numRef>
              <c:f>Choix!$AE$26:$AE$40</c:f>
              <c:numCache/>
            </c:numRef>
          </c:yVal>
          <c:smooth val="0"/>
        </c:ser>
        <c:ser>
          <c:idx val="2"/>
          <c:order val="2"/>
          <c:tx>
            <c:strRef>
              <c:f>Choix!$AF$25</c:f>
              <c:strCache>
                <c:ptCount val="1"/>
                <c:pt idx="0">
                  <c:v>axe neutre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Choix!$AC$26:$AC$40</c:f>
              <c:numCache/>
            </c:numRef>
          </c:xVal>
          <c:yVal>
            <c:numRef>
              <c:f>Choix!$AF$26:$AF$40</c:f>
              <c:numCache/>
            </c:numRef>
          </c:yVal>
          <c:smooth val="0"/>
        </c:ser>
        <c:axId val="38657120"/>
        <c:axId val="12369761"/>
      </c:scatterChart>
      <c:valAx>
        <c:axId val="3865712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369761"/>
        <c:crosses val="autoZero"/>
        <c:crossBetween val="midCat"/>
        <c:dispUnits/>
      </c:valAx>
      <c:valAx>
        <c:axId val="123697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6571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Choix!$R$184</c:f>
              <c:strCache>
                <c:ptCount val="1"/>
                <c:pt idx="0">
                  <c:v>classe B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Choix!$Q$185:$Q$193</c:f>
              <c:numCache/>
            </c:numRef>
          </c:xVal>
          <c:yVal>
            <c:numRef>
              <c:f>Choix!$R$185:$R$193</c:f>
              <c:numCache/>
            </c:numRef>
          </c:yVal>
          <c:smooth val="0"/>
        </c:ser>
        <c:ser>
          <c:idx val="1"/>
          <c:order val="1"/>
          <c:tx>
            <c:strRef>
              <c:f>Choix!$S$184</c:f>
              <c:strCache>
                <c:ptCount val="1"/>
                <c:pt idx="0">
                  <c:v>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Choix!$Q$185:$Q$193</c:f>
              <c:numCache/>
            </c:numRef>
          </c:xVal>
          <c:yVal>
            <c:numRef>
              <c:f>Choix!$S$185:$S$193</c:f>
              <c:numCache/>
            </c:numRef>
          </c:yVal>
          <c:smooth val="0"/>
        </c:ser>
        <c:ser>
          <c:idx val="2"/>
          <c:order val="2"/>
          <c:tx>
            <c:strRef>
              <c:f>Choix!$T$184</c:f>
              <c:strCache>
                <c:ptCount val="1"/>
                <c:pt idx="0">
                  <c:v>limélas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Choix!$Q$185:$Q$193</c:f>
              <c:numCache/>
            </c:numRef>
          </c:xVal>
          <c:yVal>
            <c:numRef>
              <c:f>Choix!$T$185:$T$193</c:f>
              <c:numCache/>
            </c:numRef>
          </c:yVal>
          <c:smooth val="0"/>
        </c:ser>
        <c:axId val="44218986"/>
        <c:axId val="62426555"/>
      </c:scatterChart>
      <c:valAx>
        <c:axId val="44218986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426555"/>
        <c:crosses val="autoZero"/>
        <c:crossBetween val="midCat"/>
        <c:dispUnits/>
      </c:valAx>
      <c:valAx>
        <c:axId val="6242655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2189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Moments enveloppes des différents cas de charge</a:t>
            </a:r>
          </a:p>
        </c:rich>
      </c:tx>
      <c:layout>
        <c:manualLayout>
          <c:xMode val="factor"/>
          <c:yMode val="factor"/>
          <c:x val="-0.199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515"/>
          <c:w val="0.841"/>
          <c:h val="0.9485"/>
        </c:manualLayout>
      </c:layout>
      <c:scatterChart>
        <c:scatterStyle val="smooth"/>
        <c:varyColors val="0"/>
        <c:ser>
          <c:idx val="0"/>
          <c:order val="0"/>
          <c:tx>
            <c:strRef>
              <c:f>Choix!$H$547</c:f>
              <c:strCache>
                <c:ptCount val="1"/>
                <c:pt idx="0">
                  <c:v>Mmax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Choix!$G$548:$G$563</c:f>
              <c:numCache/>
            </c:numRef>
          </c:xVal>
          <c:yVal>
            <c:numRef>
              <c:f>Choix!$H$548:$H$563</c:f>
              <c:numCache/>
            </c:numRef>
          </c:yVal>
          <c:smooth val="1"/>
        </c:ser>
        <c:ser>
          <c:idx val="1"/>
          <c:order val="1"/>
          <c:tx>
            <c:strRef>
              <c:f>Choix!$I$547</c:f>
              <c:strCache>
                <c:ptCount val="1"/>
                <c:pt idx="0">
                  <c:v>Mmin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Choix!$G$548:$G$563</c:f>
              <c:numCache/>
            </c:numRef>
          </c:xVal>
          <c:yVal>
            <c:numRef>
              <c:f>Choix!$I$548:$I$563</c:f>
              <c:numCache/>
            </c:numRef>
          </c:yVal>
          <c:smooth val="1"/>
        </c:ser>
        <c:ser>
          <c:idx val="2"/>
          <c:order val="2"/>
          <c:tx>
            <c:strRef>
              <c:f>Choix!$J$547</c:f>
              <c:strCache>
                <c:ptCount val="1"/>
                <c:pt idx="0">
                  <c:v>appuis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Choix!$G$548:$G$563</c:f>
              <c:numCache/>
            </c:numRef>
          </c:xVal>
          <c:yVal>
            <c:numRef>
              <c:f>Choix!$J$548:$J$563</c:f>
              <c:numCache/>
            </c:numRef>
          </c:yVal>
          <c:smooth val="1"/>
        </c:ser>
        <c:ser>
          <c:idx val="3"/>
          <c:order val="3"/>
          <c:tx>
            <c:strRef>
              <c:f>Choix!$K$547</c:f>
              <c:strCache>
                <c:ptCount val="1"/>
                <c:pt idx="0">
                  <c:v>nus appuis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Choix!$G$548:$G$563</c:f>
              <c:numCache/>
            </c:numRef>
          </c:xVal>
          <c:yVal>
            <c:numRef>
              <c:f>Choix!$K$548:$K$563</c:f>
              <c:numCache/>
            </c:numRef>
          </c:yVal>
          <c:smooth val="1"/>
        </c:ser>
        <c:axId val="24968084"/>
        <c:axId val="23386165"/>
      </c:scatterChart>
      <c:valAx>
        <c:axId val="24968084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386165"/>
        <c:crosses val="autoZero"/>
        <c:crossBetween val="midCat"/>
        <c:dispUnits/>
        <c:majorUnit val="0.5"/>
      </c:valAx>
      <c:valAx>
        <c:axId val="23386165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249680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75"/>
          <c:y val="0.4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Fonction y</a:t>
            </a:r>
          </a:p>
        </c:rich>
      </c:tx>
      <c:layout>
        <c:manualLayout>
          <c:xMode val="factor"/>
          <c:yMode val="factor"/>
          <c:x val="0.395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45"/>
          <c:w val="0.9665"/>
          <c:h val="0.9655"/>
        </c:manualLayout>
      </c:layout>
      <c:scatterChart>
        <c:scatterStyle val="smooth"/>
        <c:varyColors val="0"/>
        <c:ser>
          <c:idx val="0"/>
          <c:order val="0"/>
          <c:tx>
            <c:strRef>
              <c:f>Choix!$C$650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Choix!$B$651:$B$670</c:f>
              <c:numCache/>
            </c:numRef>
          </c:xVal>
          <c:yVal>
            <c:numRef>
              <c:f>Choix!$C$651:$C$670</c:f>
              <c:numCache/>
            </c:numRef>
          </c:yVal>
          <c:smooth val="1"/>
        </c:ser>
        <c:axId val="9148894"/>
        <c:axId val="15231183"/>
      </c:scatterChart>
      <c:valAx>
        <c:axId val="9148894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231183"/>
        <c:crosses val="autoZero"/>
        <c:crossBetween val="midCat"/>
        <c:dispUnits/>
      </c:valAx>
      <c:valAx>
        <c:axId val="15231183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1488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Relationship Id="rId4" Type="http://schemas.openxmlformats.org/officeDocument/2006/relationships/image" Target="../media/image7.emf" /><Relationship Id="rId5" Type="http://schemas.openxmlformats.org/officeDocument/2006/relationships/image" Target="../media/image10.emf" /><Relationship Id="rId6" Type="http://schemas.openxmlformats.org/officeDocument/2006/relationships/image" Target="../media/image18.emf" /><Relationship Id="rId7" Type="http://schemas.openxmlformats.org/officeDocument/2006/relationships/image" Target="../media/image2.emf" /><Relationship Id="rId8" Type="http://schemas.openxmlformats.org/officeDocument/2006/relationships/image" Target="../media/image1.emf" /><Relationship Id="rId9" Type="http://schemas.openxmlformats.org/officeDocument/2006/relationships/image" Target="../media/image2.emf" /><Relationship Id="rId10" Type="http://schemas.openxmlformats.org/officeDocument/2006/relationships/image" Target="../media/image8.emf" /><Relationship Id="rId11" Type="http://schemas.openxmlformats.org/officeDocument/2006/relationships/image" Target="../media/image11.emf" /><Relationship Id="rId12" Type="http://schemas.openxmlformats.org/officeDocument/2006/relationships/image" Target="../media/image17.emf" /><Relationship Id="rId13" Type="http://schemas.openxmlformats.org/officeDocument/2006/relationships/image" Target="../media/image8.emf" /><Relationship Id="rId14" Type="http://schemas.openxmlformats.org/officeDocument/2006/relationships/image" Target="../media/image5.emf" /><Relationship Id="rId15" Type="http://schemas.openxmlformats.org/officeDocument/2006/relationships/image" Target="../media/image4.emf" /><Relationship Id="rId16" Type="http://schemas.openxmlformats.org/officeDocument/2006/relationships/image" Target="../media/image19.emf" /><Relationship Id="rId17" Type="http://schemas.openxmlformats.org/officeDocument/2006/relationships/image" Target="../media/image20.emf" /><Relationship Id="rId18" Type="http://schemas.openxmlformats.org/officeDocument/2006/relationships/image" Target="../media/image6.emf" /><Relationship Id="rId19" Type="http://schemas.openxmlformats.org/officeDocument/2006/relationships/image" Target="../media/image2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9.emf" /><Relationship Id="rId3" Type="http://schemas.openxmlformats.org/officeDocument/2006/relationships/image" Target="../media/image12.emf" /><Relationship Id="rId4" Type="http://schemas.openxmlformats.org/officeDocument/2006/relationships/image" Target="../media/image13.emf" /><Relationship Id="rId5" Type="http://schemas.openxmlformats.org/officeDocument/2006/relationships/image" Target="../media/image14.emf" /><Relationship Id="rId6" Type="http://schemas.openxmlformats.org/officeDocument/2006/relationships/image" Target="../media/image15.emf" /><Relationship Id="rId7" Type="http://schemas.openxmlformats.org/officeDocument/2006/relationships/image" Target="../media/image16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0.55425</cdr:x>
      <cdr:y>0.537</cdr:y>
    </cdr:from>
    <cdr:to>
      <cdr:x>0.5815</cdr:x>
      <cdr:y>0.57575</cdr:y>
    </cdr:to>
    <cdr:sp>
      <cdr:nvSpPr>
        <cdr:cNvPr id="1" name="Text Box 1"/>
        <cdr:cNvSpPr txBox="1">
          <a:spLocks noChangeArrowheads="1"/>
        </cdr:cNvSpPr>
      </cdr:nvSpPr>
      <cdr:spPr>
        <a:xfrm>
          <a:off x="2047875" y="1209675"/>
          <a:ext cx="104775" cy="85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cdr:txBody>
    </cdr:sp>
  </cdr:relSizeAnchor>
  <cdr:relSizeAnchor xmlns:cdr="http://schemas.openxmlformats.org/drawingml/2006/chartDrawing">
    <cdr:from>
      <cdr:x>0.547</cdr:x>
      <cdr:y>0.537</cdr:y>
    </cdr:from>
    <cdr:to>
      <cdr:x>0.5745</cdr:x>
      <cdr:y>0.57575</cdr:y>
    </cdr:to>
    <cdr:sp>
      <cdr:nvSpPr>
        <cdr:cNvPr id="2" name="Text Box 2"/>
        <cdr:cNvSpPr txBox="1">
          <a:spLocks noChangeArrowheads="1"/>
        </cdr:cNvSpPr>
      </cdr:nvSpPr>
      <cdr:spPr>
        <a:xfrm>
          <a:off x="2019300" y="1209675"/>
          <a:ext cx="104775" cy="85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155</xdr:row>
      <xdr:rowOff>152400</xdr:rowOff>
    </xdr:from>
    <xdr:to>
      <xdr:col>6</xdr:col>
      <xdr:colOff>219075</xdr:colOff>
      <xdr:row>169</xdr:row>
      <xdr:rowOff>95250</xdr:rowOff>
    </xdr:to>
    <xdr:graphicFrame>
      <xdr:nvGraphicFramePr>
        <xdr:cNvPr id="1" name="Graphique 3"/>
        <xdr:cNvGraphicFramePr/>
      </xdr:nvGraphicFramePr>
      <xdr:xfrm>
        <a:off x="95250" y="25831800"/>
        <a:ext cx="369570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190500</xdr:colOff>
      <xdr:row>84</xdr:row>
      <xdr:rowOff>114300</xdr:rowOff>
    </xdr:from>
    <xdr:to>
      <xdr:col>27</xdr:col>
      <xdr:colOff>238125</xdr:colOff>
      <xdr:row>111</xdr:row>
      <xdr:rowOff>66675</xdr:rowOff>
    </xdr:to>
    <xdr:graphicFrame>
      <xdr:nvGraphicFramePr>
        <xdr:cNvPr id="2" name="Graphique 211"/>
        <xdr:cNvGraphicFramePr/>
      </xdr:nvGraphicFramePr>
      <xdr:xfrm>
        <a:off x="8553450" y="14058900"/>
        <a:ext cx="5838825" cy="4391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263</xdr:row>
      <xdr:rowOff>76200</xdr:rowOff>
    </xdr:from>
    <xdr:to>
      <xdr:col>14</xdr:col>
      <xdr:colOff>428625</xdr:colOff>
      <xdr:row>287</xdr:row>
      <xdr:rowOff>123825</xdr:rowOff>
    </xdr:to>
    <xdr:graphicFrame>
      <xdr:nvGraphicFramePr>
        <xdr:cNvPr id="3" name="Graphique 329"/>
        <xdr:cNvGraphicFramePr/>
      </xdr:nvGraphicFramePr>
      <xdr:xfrm>
        <a:off x="0" y="44034075"/>
        <a:ext cx="8296275" cy="3743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38100</xdr:colOff>
      <xdr:row>334</xdr:row>
      <xdr:rowOff>0</xdr:rowOff>
    </xdr:from>
    <xdr:to>
      <xdr:col>14</xdr:col>
      <xdr:colOff>409575</xdr:colOff>
      <xdr:row>359</xdr:row>
      <xdr:rowOff>76200</xdr:rowOff>
    </xdr:to>
    <xdr:graphicFrame>
      <xdr:nvGraphicFramePr>
        <xdr:cNvPr id="4" name="Graphique 560"/>
        <xdr:cNvGraphicFramePr/>
      </xdr:nvGraphicFramePr>
      <xdr:xfrm>
        <a:off x="3143250" y="55549800"/>
        <a:ext cx="5133975" cy="388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171450</xdr:colOff>
      <xdr:row>156</xdr:row>
      <xdr:rowOff>19050</xdr:rowOff>
    </xdr:from>
    <xdr:to>
      <xdr:col>14</xdr:col>
      <xdr:colOff>152400</xdr:colOff>
      <xdr:row>169</xdr:row>
      <xdr:rowOff>114300</xdr:rowOff>
    </xdr:to>
    <xdr:graphicFrame>
      <xdr:nvGraphicFramePr>
        <xdr:cNvPr id="5" name="Graphique 608"/>
        <xdr:cNvGraphicFramePr/>
      </xdr:nvGraphicFramePr>
      <xdr:xfrm>
        <a:off x="4200525" y="25869900"/>
        <a:ext cx="3819525" cy="2238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361950</xdr:colOff>
      <xdr:row>23</xdr:row>
      <xdr:rowOff>0</xdr:rowOff>
    </xdr:from>
    <xdr:to>
      <xdr:col>26</xdr:col>
      <xdr:colOff>409575</xdr:colOff>
      <xdr:row>39</xdr:row>
      <xdr:rowOff>85725</xdr:rowOff>
    </xdr:to>
    <xdr:graphicFrame>
      <xdr:nvGraphicFramePr>
        <xdr:cNvPr id="6" name="Chart 806"/>
        <xdr:cNvGraphicFramePr/>
      </xdr:nvGraphicFramePr>
      <xdr:xfrm>
        <a:off x="8724900" y="3667125"/>
        <a:ext cx="5400675" cy="2771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15</xdr:col>
      <xdr:colOff>180975</xdr:colOff>
      <xdr:row>176</xdr:row>
      <xdr:rowOff>66675</xdr:rowOff>
    </xdr:from>
    <xdr:to>
      <xdr:col>24</xdr:col>
      <xdr:colOff>447675</xdr:colOff>
      <xdr:row>196</xdr:row>
      <xdr:rowOff>152400</xdr:rowOff>
    </xdr:to>
    <xdr:graphicFrame>
      <xdr:nvGraphicFramePr>
        <xdr:cNvPr id="7" name="Chart 890"/>
        <xdr:cNvGraphicFramePr/>
      </xdr:nvGraphicFramePr>
      <xdr:xfrm>
        <a:off x="8543925" y="29203650"/>
        <a:ext cx="4648200" cy="3514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543</xdr:row>
      <xdr:rowOff>76200</xdr:rowOff>
    </xdr:from>
    <xdr:to>
      <xdr:col>14</xdr:col>
      <xdr:colOff>76200</xdr:colOff>
      <xdr:row>564</xdr:row>
      <xdr:rowOff>19050</xdr:rowOff>
    </xdr:to>
    <xdr:graphicFrame>
      <xdr:nvGraphicFramePr>
        <xdr:cNvPr id="8" name="Chart 976"/>
        <xdr:cNvGraphicFramePr/>
      </xdr:nvGraphicFramePr>
      <xdr:xfrm>
        <a:off x="133350" y="89134950"/>
        <a:ext cx="7810500" cy="3219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133350</xdr:colOff>
      <xdr:row>648</xdr:row>
      <xdr:rowOff>9525</xdr:rowOff>
    </xdr:from>
    <xdr:to>
      <xdr:col>9</xdr:col>
      <xdr:colOff>466725</xdr:colOff>
      <xdr:row>659</xdr:row>
      <xdr:rowOff>104775</xdr:rowOff>
    </xdr:to>
    <xdr:graphicFrame>
      <xdr:nvGraphicFramePr>
        <xdr:cNvPr id="9" name="Chart 1007"/>
        <xdr:cNvGraphicFramePr/>
      </xdr:nvGraphicFramePr>
      <xdr:xfrm>
        <a:off x="2657475" y="105803700"/>
        <a:ext cx="2943225" cy="18002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381000</xdr:colOff>
      <xdr:row>660</xdr:row>
      <xdr:rowOff>0</xdr:rowOff>
    </xdr:from>
    <xdr:to>
      <xdr:col>14</xdr:col>
      <xdr:colOff>428625</xdr:colOff>
      <xdr:row>669</xdr:row>
      <xdr:rowOff>152400</xdr:rowOff>
    </xdr:to>
    <xdr:graphicFrame>
      <xdr:nvGraphicFramePr>
        <xdr:cNvPr id="10" name="Chart 1008"/>
        <xdr:cNvGraphicFramePr/>
      </xdr:nvGraphicFramePr>
      <xdr:xfrm>
        <a:off x="4962525" y="107651550"/>
        <a:ext cx="3333750" cy="1524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41</xdr:row>
      <xdr:rowOff>66675</xdr:rowOff>
    </xdr:from>
    <xdr:to>
      <xdr:col>20</xdr:col>
      <xdr:colOff>447675</xdr:colOff>
      <xdr:row>66</xdr:row>
      <xdr:rowOff>9525</xdr:rowOff>
    </xdr:to>
    <xdr:graphicFrame>
      <xdr:nvGraphicFramePr>
        <xdr:cNvPr id="1" name="Graphique 1"/>
        <xdr:cNvGraphicFramePr/>
      </xdr:nvGraphicFramePr>
      <xdr:xfrm>
        <a:off x="257175" y="6858000"/>
        <a:ext cx="98012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219075</xdr:colOff>
      <xdr:row>19</xdr:row>
      <xdr:rowOff>9525</xdr:rowOff>
    </xdr:from>
    <xdr:to>
      <xdr:col>22</xdr:col>
      <xdr:colOff>361950</xdr:colOff>
      <xdr:row>32</xdr:row>
      <xdr:rowOff>47625</xdr:rowOff>
    </xdr:to>
    <xdr:graphicFrame>
      <xdr:nvGraphicFramePr>
        <xdr:cNvPr id="2" name="Graphique 13"/>
        <xdr:cNvGraphicFramePr/>
      </xdr:nvGraphicFramePr>
      <xdr:xfrm>
        <a:off x="6496050" y="3219450"/>
        <a:ext cx="442912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171450</xdr:colOff>
      <xdr:row>66</xdr:row>
      <xdr:rowOff>133350</xdr:rowOff>
    </xdr:from>
    <xdr:to>
      <xdr:col>15</xdr:col>
      <xdr:colOff>28575</xdr:colOff>
      <xdr:row>89</xdr:row>
      <xdr:rowOff>28575</xdr:rowOff>
    </xdr:to>
    <xdr:graphicFrame>
      <xdr:nvGraphicFramePr>
        <xdr:cNvPr id="3" name="Graphique 160"/>
        <xdr:cNvGraphicFramePr/>
      </xdr:nvGraphicFramePr>
      <xdr:xfrm>
        <a:off x="609600" y="10734675"/>
        <a:ext cx="6648450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oleObject" Target="../embeddings/oleObject_0_6.bin" /><Relationship Id="rId9" Type="http://schemas.openxmlformats.org/officeDocument/2006/relationships/oleObject" Target="../embeddings/oleObject_0_7.bin" /><Relationship Id="rId10" Type="http://schemas.openxmlformats.org/officeDocument/2006/relationships/oleObject" Target="../embeddings/oleObject_0_8.bin" /><Relationship Id="rId11" Type="http://schemas.openxmlformats.org/officeDocument/2006/relationships/oleObject" Target="../embeddings/oleObject_0_9.bin" /><Relationship Id="rId12" Type="http://schemas.openxmlformats.org/officeDocument/2006/relationships/oleObject" Target="../embeddings/oleObject_0_10.bin" /><Relationship Id="rId13" Type="http://schemas.openxmlformats.org/officeDocument/2006/relationships/oleObject" Target="../embeddings/oleObject_0_11.bin" /><Relationship Id="rId14" Type="http://schemas.openxmlformats.org/officeDocument/2006/relationships/oleObject" Target="../embeddings/oleObject_0_12.bin" /><Relationship Id="rId15" Type="http://schemas.openxmlformats.org/officeDocument/2006/relationships/oleObject" Target="../embeddings/oleObject_0_13.bin" /><Relationship Id="rId16" Type="http://schemas.openxmlformats.org/officeDocument/2006/relationships/oleObject" Target="../embeddings/oleObject_0_14.bin" /><Relationship Id="rId17" Type="http://schemas.openxmlformats.org/officeDocument/2006/relationships/oleObject" Target="../embeddings/oleObject_0_15.bin" /><Relationship Id="rId18" Type="http://schemas.openxmlformats.org/officeDocument/2006/relationships/oleObject" Target="../embeddings/oleObject_0_16.bin" /><Relationship Id="rId19" Type="http://schemas.openxmlformats.org/officeDocument/2006/relationships/oleObject" Target="../embeddings/oleObject_0_17.bin" /><Relationship Id="rId20" Type="http://schemas.openxmlformats.org/officeDocument/2006/relationships/oleObject" Target="../embeddings/oleObject_0_18.bin" /><Relationship Id="rId21" Type="http://schemas.openxmlformats.org/officeDocument/2006/relationships/vmlDrawing" Target="../drawings/vmlDrawing1.vml" /><Relationship Id="rId22" Type="http://schemas.openxmlformats.org/officeDocument/2006/relationships/drawing" Target="../drawings/drawing2.xml" /><Relationship Id="rId2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oleObject" Target="../embeddings/oleObject_1_2.bin" /><Relationship Id="rId5" Type="http://schemas.openxmlformats.org/officeDocument/2006/relationships/oleObject" Target="../embeddings/oleObject_1_3.bin" /><Relationship Id="rId6" Type="http://schemas.openxmlformats.org/officeDocument/2006/relationships/oleObject" Target="../embeddings/oleObject_1_4.bin" /><Relationship Id="rId7" Type="http://schemas.openxmlformats.org/officeDocument/2006/relationships/oleObject" Target="../embeddings/oleObject_1_5.bin" /><Relationship Id="rId8" Type="http://schemas.openxmlformats.org/officeDocument/2006/relationships/oleObject" Target="../embeddings/oleObject_1_6.bin" /><Relationship Id="rId9" Type="http://schemas.openxmlformats.org/officeDocument/2006/relationships/vmlDrawing" Target="../drawings/vmlDrawing2.vml" /><Relationship Id="rId10" Type="http://schemas.openxmlformats.org/officeDocument/2006/relationships/drawing" Target="../drawings/drawing3.xml" /><Relationship Id="rId1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D670"/>
  <sheetViews>
    <sheetView showGridLines="0" tabSelected="1" view="pageBreakPreview" zoomScaleSheetLayoutView="100" zoomScalePageLayoutView="0" workbookViewId="0" topLeftCell="A1">
      <selection activeCell="A23" sqref="A23"/>
    </sheetView>
  </sheetViews>
  <sheetFormatPr defaultColWidth="7.421875" defaultRowHeight="12"/>
  <cols>
    <col min="1" max="1" width="12.00390625" style="1" customWidth="1"/>
    <col min="2" max="2" width="8.421875" style="1" customWidth="1"/>
    <col min="3" max="4" width="8.7109375" style="5" customWidth="1"/>
    <col min="5" max="5" width="8.7109375" style="1" customWidth="1"/>
    <col min="6" max="6" width="7.00390625" style="1" customWidth="1"/>
    <col min="7" max="7" width="6.8515625" style="1" customWidth="1"/>
    <col min="8" max="8" width="8.28125" style="5" customWidth="1"/>
    <col min="9" max="9" width="8.28125" style="1" customWidth="1"/>
    <col min="10" max="10" width="7.7109375" style="1" customWidth="1"/>
    <col min="11" max="11" width="8.00390625" style="1" customWidth="1"/>
    <col min="12" max="12" width="9.140625" style="1" bestFit="1" customWidth="1"/>
    <col min="13" max="13" width="8.7109375" style="1" customWidth="1"/>
    <col min="14" max="15" width="7.421875" style="1" customWidth="1"/>
    <col min="16" max="16" width="6.421875" style="1" customWidth="1"/>
    <col min="17" max="17" width="7.28125" style="1" customWidth="1"/>
    <col min="18" max="18" width="8.421875" style="1" customWidth="1"/>
    <col min="19" max="19" width="8.00390625" style="1" customWidth="1"/>
    <col min="20" max="20" width="7.421875" style="1" customWidth="1"/>
    <col min="21" max="21" width="7.28125" style="1" customWidth="1"/>
    <col min="22" max="22" width="6.421875" style="1" customWidth="1"/>
    <col min="23" max="23" width="6.7109375" style="1" customWidth="1"/>
    <col min="24" max="24" width="7.7109375" style="1" customWidth="1"/>
    <col min="25" max="25" width="7.140625" style="1" customWidth="1"/>
    <col min="26" max="26" width="7.421875" style="1" customWidth="1"/>
    <col min="27" max="27" width="6.57421875" style="1" customWidth="1"/>
    <col min="28" max="28" width="6.421875" style="1" customWidth="1"/>
    <col min="29" max="29" width="7.57421875" style="1" customWidth="1"/>
    <col min="30" max="32" width="6.421875" style="1" customWidth="1"/>
    <col min="33" max="33" width="9.140625" style="1" bestFit="1" customWidth="1"/>
    <col min="34" max="35" width="7.421875" style="1" customWidth="1"/>
    <col min="36" max="36" width="6.421875" style="1" customWidth="1"/>
    <col min="37" max="16384" width="7.421875" style="1" customWidth="1"/>
  </cols>
  <sheetData>
    <row r="1" spans="2:9" ht="12.75" thickBot="1">
      <c r="B1" s="553" t="s">
        <v>806</v>
      </c>
      <c r="C1" s="553"/>
      <c r="D1" s="553"/>
      <c r="E1" s="553"/>
      <c r="F1" s="553"/>
      <c r="G1" s="553"/>
      <c r="H1" s="553"/>
      <c r="I1" s="553"/>
    </row>
    <row r="2" spans="1:14" ht="12.75">
      <c r="A2" s="29" t="s">
        <v>125</v>
      </c>
      <c r="L2" s="96" t="s">
        <v>126</v>
      </c>
      <c r="N2" s="87"/>
    </row>
    <row r="3" spans="1:34" ht="13.5">
      <c r="A3" s="100" t="s">
        <v>172</v>
      </c>
      <c r="L3" s="482" t="s">
        <v>288</v>
      </c>
      <c r="AH3" s="1" t="s">
        <v>404</v>
      </c>
    </row>
    <row r="4" spans="1:41" ht="13.5">
      <c r="A4" s="101" t="s">
        <v>122</v>
      </c>
      <c r="L4" s="482" t="s">
        <v>289</v>
      </c>
      <c r="AH4" s="22">
        <v>1</v>
      </c>
      <c r="AI4" s="22">
        <v>2</v>
      </c>
      <c r="AJ4" s="22">
        <v>3</v>
      </c>
      <c r="AK4" s="22">
        <v>4</v>
      </c>
      <c r="AL4" s="22">
        <v>5</v>
      </c>
      <c r="AM4" s="22">
        <v>6</v>
      </c>
      <c r="AN4" s="22">
        <v>7</v>
      </c>
      <c r="AO4" s="22">
        <v>8</v>
      </c>
    </row>
    <row r="5" spans="1:41" ht="13.5">
      <c r="A5" s="101" t="s">
        <v>123</v>
      </c>
      <c r="L5" s="482" t="s">
        <v>291</v>
      </c>
      <c r="M5"/>
      <c r="N5"/>
      <c r="AH5" s="23" t="s">
        <v>14</v>
      </c>
      <c r="AI5" s="23" t="s">
        <v>30</v>
      </c>
      <c r="AJ5" s="23" t="s">
        <v>2</v>
      </c>
      <c r="AK5" s="24" t="s">
        <v>361</v>
      </c>
      <c r="AL5" s="24" t="s">
        <v>359</v>
      </c>
      <c r="AM5" s="24" t="s">
        <v>20</v>
      </c>
      <c r="AN5" s="24" t="s">
        <v>19</v>
      </c>
      <c r="AO5" s="23" t="s">
        <v>31</v>
      </c>
    </row>
    <row r="6" spans="1:41" ht="12.75">
      <c r="A6" s="101" t="s">
        <v>585</v>
      </c>
      <c r="L6" s="482" t="s">
        <v>290</v>
      </c>
      <c r="M6"/>
      <c r="N6"/>
      <c r="AH6" s="25">
        <v>12</v>
      </c>
      <c r="AI6" s="25">
        <v>1.6</v>
      </c>
      <c r="AJ6" s="25">
        <v>27</v>
      </c>
      <c r="AK6" s="25">
        <v>3.5</v>
      </c>
      <c r="AL6" s="25">
        <v>1.8</v>
      </c>
      <c r="AM6" s="25">
        <v>3.5</v>
      </c>
      <c r="AN6" s="25">
        <v>2</v>
      </c>
      <c r="AO6" s="25">
        <v>2</v>
      </c>
    </row>
    <row r="7" spans="1:41" ht="13.5">
      <c r="A7" s="4" t="s">
        <v>124</v>
      </c>
      <c r="AH7" s="26">
        <v>16</v>
      </c>
      <c r="AI7" s="26">
        <v>1.9</v>
      </c>
      <c r="AJ7" s="26">
        <v>29</v>
      </c>
      <c r="AK7" s="26">
        <v>3.5</v>
      </c>
      <c r="AL7" s="26">
        <v>1.9</v>
      </c>
      <c r="AM7" s="26">
        <v>3.5</v>
      </c>
      <c r="AN7" s="26">
        <v>2</v>
      </c>
      <c r="AO7" s="26">
        <v>2</v>
      </c>
    </row>
    <row r="8" spans="1:41" ht="13.5">
      <c r="A8" s="4" t="s">
        <v>402</v>
      </c>
      <c r="AH8" s="26">
        <v>20</v>
      </c>
      <c r="AI8" s="26">
        <v>2.2</v>
      </c>
      <c r="AJ8" s="26">
        <v>30</v>
      </c>
      <c r="AK8" s="26">
        <v>3.5</v>
      </c>
      <c r="AL8" s="26">
        <v>2</v>
      </c>
      <c r="AM8" s="26">
        <v>3.5</v>
      </c>
      <c r="AN8" s="26">
        <v>2</v>
      </c>
      <c r="AO8" s="26">
        <v>2</v>
      </c>
    </row>
    <row r="9" spans="1:41" ht="12">
      <c r="A9" s="4" t="s">
        <v>401</v>
      </c>
      <c r="AH9" s="26">
        <v>25</v>
      </c>
      <c r="AI9" s="26">
        <v>2.6</v>
      </c>
      <c r="AJ9" s="26">
        <v>31</v>
      </c>
      <c r="AK9" s="26">
        <v>3.5</v>
      </c>
      <c r="AL9" s="26">
        <v>2.1</v>
      </c>
      <c r="AM9" s="26">
        <v>3.5</v>
      </c>
      <c r="AN9" s="26">
        <v>2</v>
      </c>
      <c r="AO9" s="26">
        <v>2</v>
      </c>
    </row>
    <row r="10" spans="1:41" ht="12">
      <c r="A10" s="102" t="s">
        <v>178</v>
      </c>
      <c r="S10" s="5" t="s">
        <v>403</v>
      </c>
      <c r="AH10" s="26">
        <v>30</v>
      </c>
      <c r="AI10" s="26">
        <v>2.9</v>
      </c>
      <c r="AJ10" s="26">
        <v>33</v>
      </c>
      <c r="AK10" s="26">
        <v>3.5</v>
      </c>
      <c r="AL10" s="26">
        <v>2.2</v>
      </c>
      <c r="AM10" s="26">
        <v>3.5</v>
      </c>
      <c r="AN10" s="26">
        <v>2</v>
      </c>
      <c r="AO10" s="26">
        <v>2</v>
      </c>
    </row>
    <row r="11" spans="1:41" ht="12">
      <c r="A11" s="5" t="s">
        <v>734</v>
      </c>
      <c r="M11" s="40"/>
      <c r="AH11" s="27">
        <v>35</v>
      </c>
      <c r="AI11" s="26">
        <v>3.2</v>
      </c>
      <c r="AJ11" s="26">
        <v>34</v>
      </c>
      <c r="AK11" s="26">
        <v>3.5</v>
      </c>
      <c r="AL11" s="26">
        <v>2.25</v>
      </c>
      <c r="AM11" s="26">
        <v>3.5</v>
      </c>
      <c r="AN11" s="26">
        <v>2</v>
      </c>
      <c r="AO11" s="26">
        <v>2</v>
      </c>
    </row>
    <row r="12" spans="1:41" ht="12">
      <c r="A12" s="101" t="s">
        <v>736</v>
      </c>
      <c r="M12" s="40"/>
      <c r="AH12" s="27">
        <v>40</v>
      </c>
      <c r="AI12" s="26">
        <v>3.5</v>
      </c>
      <c r="AJ12" s="26">
        <v>35</v>
      </c>
      <c r="AK12" s="26">
        <v>3.5</v>
      </c>
      <c r="AL12" s="26">
        <v>2.3</v>
      </c>
      <c r="AM12" s="26">
        <v>3.5</v>
      </c>
      <c r="AN12" s="26">
        <v>2</v>
      </c>
      <c r="AO12" s="26">
        <v>2</v>
      </c>
    </row>
    <row r="13" spans="1:41" ht="13.5">
      <c r="A13" s="5" t="s">
        <v>615</v>
      </c>
      <c r="M13" s="40"/>
      <c r="AH13" s="26">
        <v>45</v>
      </c>
      <c r="AI13" s="26">
        <v>3.8</v>
      </c>
      <c r="AJ13" s="26">
        <v>36</v>
      </c>
      <c r="AK13" s="26">
        <v>3.5</v>
      </c>
      <c r="AL13" s="26">
        <v>2.4</v>
      </c>
      <c r="AM13" s="26">
        <v>3.5</v>
      </c>
      <c r="AN13" s="26">
        <v>2</v>
      </c>
      <c r="AO13" s="26">
        <v>2</v>
      </c>
    </row>
    <row r="14" spans="1:41" ht="12">
      <c r="A14" s="5" t="s">
        <v>618</v>
      </c>
      <c r="M14" s="40"/>
      <c r="AH14" s="26">
        <v>50</v>
      </c>
      <c r="AI14" s="26">
        <v>4.1</v>
      </c>
      <c r="AJ14" s="26">
        <v>37</v>
      </c>
      <c r="AK14" s="26">
        <v>3.5</v>
      </c>
      <c r="AL14" s="26">
        <v>2.45</v>
      </c>
      <c r="AM14" s="26">
        <v>3.5</v>
      </c>
      <c r="AN14" s="26">
        <v>2</v>
      </c>
      <c r="AO14" s="26">
        <v>2</v>
      </c>
    </row>
    <row r="15" spans="1:41" ht="13.5">
      <c r="A15" s="5" t="s">
        <v>670</v>
      </c>
      <c r="M15" s="40"/>
      <c r="AH15" s="26">
        <v>55</v>
      </c>
      <c r="AI15" s="26">
        <v>4.2</v>
      </c>
      <c r="AJ15" s="26">
        <v>38</v>
      </c>
      <c r="AK15" s="26">
        <v>3.2</v>
      </c>
      <c r="AL15" s="26">
        <v>2.5</v>
      </c>
      <c r="AM15" s="26">
        <v>3.1</v>
      </c>
      <c r="AN15" s="26">
        <v>2.2</v>
      </c>
      <c r="AO15" s="26">
        <v>1.75</v>
      </c>
    </row>
    <row r="16" spans="1:41" ht="12">
      <c r="A16" s="5" t="s">
        <v>735</v>
      </c>
      <c r="E16" s="88"/>
      <c r="AH16" s="26">
        <v>60</v>
      </c>
      <c r="AI16" s="26">
        <v>4.4</v>
      </c>
      <c r="AJ16" s="26">
        <v>39</v>
      </c>
      <c r="AK16" s="26">
        <v>3</v>
      </c>
      <c r="AL16" s="26">
        <v>2.6</v>
      </c>
      <c r="AM16" s="26">
        <v>2.9</v>
      </c>
      <c r="AN16" s="26">
        <v>2.3</v>
      </c>
      <c r="AO16" s="26">
        <v>1.6</v>
      </c>
    </row>
    <row r="17" spans="1:41" ht="12">
      <c r="A17" s="5" t="s">
        <v>724</v>
      </c>
      <c r="E17" s="88"/>
      <c r="AH17" s="26">
        <v>70</v>
      </c>
      <c r="AI17" s="26">
        <v>4.6</v>
      </c>
      <c r="AJ17" s="26">
        <v>41</v>
      </c>
      <c r="AK17" s="26">
        <v>2.8</v>
      </c>
      <c r="AL17" s="26">
        <v>2.7</v>
      </c>
      <c r="AM17" s="26">
        <v>2.7</v>
      </c>
      <c r="AN17" s="26">
        <v>2.4</v>
      </c>
      <c r="AO17" s="26">
        <v>1.45</v>
      </c>
    </row>
    <row r="18" spans="1:41" ht="12">
      <c r="A18" s="5" t="s">
        <v>737</v>
      </c>
      <c r="E18" s="88"/>
      <c r="AH18" s="26">
        <v>80</v>
      </c>
      <c r="AI18" s="26">
        <v>4.8</v>
      </c>
      <c r="AJ18" s="26">
        <v>42</v>
      </c>
      <c r="AK18" s="26">
        <v>2.8</v>
      </c>
      <c r="AL18" s="26">
        <v>2.8</v>
      </c>
      <c r="AM18" s="26">
        <v>2.6</v>
      </c>
      <c r="AN18" s="26">
        <v>2.5</v>
      </c>
      <c r="AO18" s="26">
        <v>1.4</v>
      </c>
    </row>
    <row r="19" spans="1:41" ht="12">
      <c r="A19" s="5" t="s">
        <v>775</v>
      </c>
      <c r="E19" s="88"/>
      <c r="AH19" s="28">
        <v>90</v>
      </c>
      <c r="AI19" s="28">
        <v>5</v>
      </c>
      <c r="AJ19" s="28">
        <v>44</v>
      </c>
      <c r="AK19" s="28">
        <v>2.8</v>
      </c>
      <c r="AL19" s="28">
        <v>2.8</v>
      </c>
      <c r="AM19" s="28">
        <v>2.6</v>
      </c>
      <c r="AN19" s="28">
        <v>2.6</v>
      </c>
      <c r="AO19" s="28">
        <v>1.4</v>
      </c>
    </row>
    <row r="20" spans="1:5" ht="12">
      <c r="A20" s="5" t="s">
        <v>793</v>
      </c>
      <c r="E20" s="88"/>
    </row>
    <row r="21" spans="1:5" ht="12">
      <c r="A21" s="5" t="s">
        <v>809</v>
      </c>
      <c r="E21" s="88"/>
    </row>
    <row r="22" spans="1:5" ht="12">
      <c r="A22" s="5"/>
      <c r="E22" s="88"/>
    </row>
    <row r="23" spans="1:5" ht="12">
      <c r="A23" s="5"/>
      <c r="E23" s="88"/>
    </row>
    <row r="24" spans="1:32" ht="12">
      <c r="A24" s="52"/>
      <c r="B24" s="52"/>
      <c r="C24" s="53"/>
      <c r="D24" s="53"/>
      <c r="E24" s="52"/>
      <c r="F24" s="54"/>
      <c r="G24" s="55"/>
      <c r="H24" s="53"/>
      <c r="I24" s="52"/>
      <c r="J24" s="52"/>
      <c r="K24" s="52"/>
      <c r="L24" s="52"/>
      <c r="M24" s="52"/>
      <c r="N24" s="52"/>
      <c r="O24" s="52"/>
      <c r="AC24" s="369" t="s">
        <v>75</v>
      </c>
      <c r="AD24" s="369"/>
      <c r="AE24" s="369"/>
      <c r="AF24" s="369"/>
    </row>
    <row r="25" spans="1:32" ht="13.5">
      <c r="A25" s="51" t="s">
        <v>68</v>
      </c>
      <c r="AC25" s="370"/>
      <c r="AD25" s="371" t="s">
        <v>67</v>
      </c>
      <c r="AE25" s="371" t="s">
        <v>63</v>
      </c>
      <c r="AF25" s="372" t="s">
        <v>544</v>
      </c>
    </row>
    <row r="26" spans="1:32" ht="12">
      <c r="A26" s="5" t="s">
        <v>545</v>
      </c>
      <c r="AC26" s="373">
        <f>-B36/2</f>
        <v>-0.15</v>
      </c>
      <c r="AD26" s="199">
        <f>B38</f>
        <v>0.5</v>
      </c>
      <c r="AE26" s="199"/>
      <c r="AF26" s="374"/>
    </row>
    <row r="27" spans="2:42" ht="12.75" thickBot="1">
      <c r="B27" s="155" t="s">
        <v>69</v>
      </c>
      <c r="H27" s="155" t="s">
        <v>59</v>
      </c>
      <c r="I27" s="5"/>
      <c r="AC27" s="373">
        <f>AC26</f>
        <v>-0.15</v>
      </c>
      <c r="AD27" s="199">
        <f>IF(B39=0,0,AD26-B39)</f>
        <v>0</v>
      </c>
      <c r="AE27" s="199"/>
      <c r="AF27" s="374"/>
      <c r="AI27" s="1" t="s">
        <v>405</v>
      </c>
      <c r="AL27" s="39"/>
      <c r="AM27" s="39"/>
      <c r="AN27" s="39"/>
      <c r="AO27" s="39"/>
      <c r="AP27" s="39"/>
    </row>
    <row r="28" spans="1:42" ht="14.25" thickTop="1">
      <c r="A28" s="2" t="s">
        <v>47</v>
      </c>
      <c r="B28" s="483">
        <v>0</v>
      </c>
      <c r="C28" s="5" t="s">
        <v>13</v>
      </c>
      <c r="D28" s="5" t="s">
        <v>416</v>
      </c>
      <c r="G28" s="2"/>
      <c r="H28" s="138" t="str">
        <f>fMRx(B28,B29,B44,B42,B43,B36,B37,B39,B40,B41,B46,B48,B51,B47,B50,B52,B35,B49)</f>
        <v>3301347060330158587031011478760000000000310517963400000000001303437462330343746200000000003302166666130158587000000000003101262836310122222200000000000000000000310138867231015973533101123776310124074731011478760000000000110114788831013886720000000000000000000000000000000000000000</v>
      </c>
      <c r="I28" s="138" t="s">
        <v>543</v>
      </c>
      <c r="AC28" s="373">
        <f>-B37/2</f>
        <v>0</v>
      </c>
      <c r="AD28" s="199">
        <f>AD27</f>
        <v>0</v>
      </c>
      <c r="AE28" s="199"/>
      <c r="AF28" s="374"/>
      <c r="AI28" s="6" t="s">
        <v>6</v>
      </c>
      <c r="AJ28" s="6">
        <v>1.05</v>
      </c>
      <c r="AK28" s="6">
        <v>25</v>
      </c>
      <c r="AM28" s="275" t="s">
        <v>366</v>
      </c>
      <c r="AN28" s="113"/>
      <c r="AO28" s="276">
        <v>1</v>
      </c>
      <c r="AP28" s="113" t="s">
        <v>367</v>
      </c>
    </row>
    <row r="29" spans="1:42" ht="13.5">
      <c r="A29" s="2" t="s">
        <v>46</v>
      </c>
      <c r="B29" s="484">
        <v>15.457</v>
      </c>
      <c r="C29" s="5" t="s">
        <v>13</v>
      </c>
      <c r="D29" s="4" t="s">
        <v>451</v>
      </c>
      <c r="F29" s="322"/>
      <c r="G29" s="2" t="s">
        <v>35</v>
      </c>
      <c r="H29" s="424">
        <f>macf(H28,17)*1000</f>
        <v>257.2863494154454</v>
      </c>
      <c r="I29" s="5" t="s">
        <v>12</v>
      </c>
      <c r="J29" s="4" t="s">
        <v>424</v>
      </c>
      <c r="AC29" s="373">
        <f>AC28</f>
        <v>0</v>
      </c>
      <c r="AD29" s="199">
        <v>0</v>
      </c>
      <c r="AE29" s="199"/>
      <c r="AF29" s="374"/>
      <c r="AI29" s="7" t="s">
        <v>43</v>
      </c>
      <c r="AJ29" s="7">
        <v>1.08</v>
      </c>
      <c r="AK29" s="7">
        <v>50</v>
      </c>
      <c r="AM29" s="277" t="s">
        <v>368</v>
      </c>
      <c r="AN29" s="116"/>
      <c r="AO29" s="278">
        <v>2</v>
      </c>
      <c r="AP29" s="116" t="s">
        <v>365</v>
      </c>
    </row>
    <row r="30" spans="1:42" ht="12">
      <c r="A30" s="2" t="s">
        <v>357</v>
      </c>
      <c r="B30" s="484" t="s">
        <v>43</v>
      </c>
      <c r="D30" s="5" t="s">
        <v>417</v>
      </c>
      <c r="F30" s="322"/>
      <c r="G30" s="2" t="s">
        <v>26</v>
      </c>
      <c r="H30" s="316">
        <f>macf(H28,18)</f>
        <v>0.16740520261888697</v>
      </c>
      <c r="I30" s="5" t="s">
        <v>11</v>
      </c>
      <c r="J30" s="4" t="s">
        <v>184</v>
      </c>
      <c r="AC30" s="373">
        <f>-AC29</f>
        <v>0</v>
      </c>
      <c r="AD30" s="199">
        <v>0</v>
      </c>
      <c r="AE30" s="199"/>
      <c r="AF30" s="374"/>
      <c r="AI30" s="7" t="s">
        <v>44</v>
      </c>
      <c r="AJ30" s="7">
        <v>1.15</v>
      </c>
      <c r="AK30" s="7">
        <v>75</v>
      </c>
      <c r="AM30" s="279" t="s">
        <v>369</v>
      </c>
      <c r="AN30" s="129"/>
      <c r="AO30" s="280">
        <v>3</v>
      </c>
      <c r="AP30" s="129" t="s">
        <v>363</v>
      </c>
    </row>
    <row r="31" spans="1:42" ht="13.5">
      <c r="A31" s="2" t="s">
        <v>228</v>
      </c>
      <c r="B31" s="485">
        <v>500</v>
      </c>
      <c r="C31" s="5" t="s">
        <v>10</v>
      </c>
      <c r="D31" s="5" t="s">
        <v>63</v>
      </c>
      <c r="F31" s="322"/>
      <c r="G31" s="3" t="s">
        <v>22</v>
      </c>
      <c r="H31" s="182">
        <f>macf(H28,1)</f>
        <v>3.4706</v>
      </c>
      <c r="I31" s="4" t="s">
        <v>9</v>
      </c>
      <c r="J31" s="4" t="s">
        <v>425</v>
      </c>
      <c r="AC31" s="373">
        <f>AC30</f>
        <v>0</v>
      </c>
      <c r="AD31" s="199">
        <f>AD28</f>
        <v>0</v>
      </c>
      <c r="AE31" s="199"/>
      <c r="AF31" s="374"/>
      <c r="AI31" s="10" t="s">
        <v>45</v>
      </c>
      <c r="AJ31" s="10">
        <v>1</v>
      </c>
      <c r="AK31" s="10">
        <v>25</v>
      </c>
      <c r="AO31"/>
      <c r="AP31"/>
    </row>
    <row r="32" spans="1:32" ht="13.5">
      <c r="A32" s="3" t="s">
        <v>227</v>
      </c>
      <c r="B32" s="484">
        <v>1.15</v>
      </c>
      <c r="D32" s="5" t="s">
        <v>63</v>
      </c>
      <c r="F32" s="322"/>
      <c r="G32" s="3" t="s">
        <v>359</v>
      </c>
      <c r="H32" s="182">
        <f>macf(H28,12)</f>
        <v>0</v>
      </c>
      <c r="I32" s="4" t="s">
        <v>9</v>
      </c>
      <c r="J32" s="4" t="s">
        <v>426</v>
      </c>
      <c r="AC32" s="373">
        <f>B36/2</f>
        <v>0.15</v>
      </c>
      <c r="AD32" s="199">
        <f>AD31</f>
        <v>0</v>
      </c>
      <c r="AE32" s="199"/>
      <c r="AF32" s="374"/>
    </row>
    <row r="33" spans="1:32" ht="13.5">
      <c r="A33" s="2" t="s">
        <v>14</v>
      </c>
      <c r="B33" s="485">
        <v>25</v>
      </c>
      <c r="C33" s="5" t="s">
        <v>10</v>
      </c>
      <c r="D33" s="4" t="s">
        <v>450</v>
      </c>
      <c r="F33" s="322"/>
      <c r="G33" s="3" t="s">
        <v>5</v>
      </c>
      <c r="H33" s="182">
        <f>macf(H28,2)</f>
        <v>5.858700000000001</v>
      </c>
      <c r="I33" s="4" t="s">
        <v>9</v>
      </c>
      <c r="J33" s="4" t="s">
        <v>427</v>
      </c>
      <c r="N33" s="5"/>
      <c r="T33" s="56"/>
      <c r="AC33" s="373">
        <f>AC32</f>
        <v>0.15</v>
      </c>
      <c r="AD33" s="199">
        <f>AD26</f>
        <v>0.5</v>
      </c>
      <c r="AE33" s="199"/>
      <c r="AF33" s="374"/>
    </row>
    <row r="34" spans="1:32" ht="13.5">
      <c r="A34" s="3" t="s">
        <v>230</v>
      </c>
      <c r="B34" s="484">
        <v>1.5</v>
      </c>
      <c r="D34" s="5" t="s">
        <v>67</v>
      </c>
      <c r="F34" s="322"/>
      <c r="G34" s="3" t="s">
        <v>60</v>
      </c>
      <c r="H34" s="182">
        <f>macf(H28,11)</f>
        <v>-5.858700000000001</v>
      </c>
      <c r="I34" s="4" t="s">
        <v>9</v>
      </c>
      <c r="J34" s="4" t="s">
        <v>428</v>
      </c>
      <c r="N34" s="5"/>
      <c r="AC34" s="373">
        <f>AC26</f>
        <v>-0.15</v>
      </c>
      <c r="AD34" s="199">
        <f>AD26</f>
        <v>0.5</v>
      </c>
      <c r="AE34" s="199"/>
      <c r="AF34" s="374"/>
    </row>
    <row r="35" spans="1:32" ht="13.5">
      <c r="A35" s="42" t="s">
        <v>58</v>
      </c>
      <c r="B35" s="484">
        <v>1</v>
      </c>
      <c r="C35" s="4" t="s">
        <v>422</v>
      </c>
      <c r="F35" s="322"/>
      <c r="G35" s="3" t="s">
        <v>23</v>
      </c>
      <c r="H35" s="318">
        <f>macf(H28,8)</f>
        <v>437.462</v>
      </c>
      <c r="I35" s="5" t="s">
        <v>10</v>
      </c>
      <c r="J35" s="4" t="s">
        <v>429</v>
      </c>
      <c r="N35" s="5"/>
      <c r="AC35" s="373"/>
      <c r="AD35" s="199"/>
      <c r="AE35" s="199"/>
      <c r="AF35" s="374"/>
    </row>
    <row r="36" spans="1:32" ht="13.5">
      <c r="A36" s="2" t="s">
        <v>0</v>
      </c>
      <c r="B36" s="484">
        <v>0.3</v>
      </c>
      <c r="C36" s="5" t="s">
        <v>11</v>
      </c>
      <c r="D36" s="5" t="s">
        <v>64</v>
      </c>
      <c r="F36" s="322"/>
      <c r="G36" s="3" t="s">
        <v>57</v>
      </c>
      <c r="H36" s="318">
        <f>macf(H28,7)</f>
        <v>-437.462</v>
      </c>
      <c r="I36" s="5" t="s">
        <v>10</v>
      </c>
      <c r="J36" s="4" t="s">
        <v>430</v>
      </c>
      <c r="N36" s="5"/>
      <c r="AC36" s="373">
        <v>0</v>
      </c>
      <c r="AD36" s="199"/>
      <c r="AE36" s="199">
        <f>B38-B40</f>
        <v>0.04999999999999999</v>
      </c>
      <c r="AF36" s="374"/>
    </row>
    <row r="37" spans="1:32" ht="13.5">
      <c r="A37" s="2" t="s">
        <v>40</v>
      </c>
      <c r="B37" s="484">
        <v>0</v>
      </c>
      <c r="C37" s="5" t="s">
        <v>11</v>
      </c>
      <c r="D37" s="5" t="s">
        <v>65</v>
      </c>
      <c r="F37" s="322"/>
      <c r="G37" s="2" t="s">
        <v>37</v>
      </c>
      <c r="H37" s="320">
        <f>macf(H28,3)</f>
        <v>0.676242257026157</v>
      </c>
      <c r="I37" s="4" t="s">
        <v>166</v>
      </c>
      <c r="J37" s="4" t="s">
        <v>431</v>
      </c>
      <c r="N37" s="5"/>
      <c r="AC37" s="373">
        <v>0</v>
      </c>
      <c r="AD37" s="199"/>
      <c r="AE37" s="199">
        <f>B38-B41</f>
        <v>0.04999999999999999</v>
      </c>
      <c r="AF37" s="374"/>
    </row>
    <row r="38" spans="1:32" ht="13.5">
      <c r="A38" s="2" t="s">
        <v>25</v>
      </c>
      <c r="B38" s="484">
        <v>0.5</v>
      </c>
      <c r="C38" s="5" t="s">
        <v>11</v>
      </c>
      <c r="D38" s="5" t="s">
        <v>77</v>
      </c>
      <c r="F38" s="322"/>
      <c r="G38" s="144" t="s">
        <v>161</v>
      </c>
      <c r="H38" s="320">
        <f>macf(H28,4)</f>
        <v>0</v>
      </c>
      <c r="I38" s="4" t="s">
        <v>166</v>
      </c>
      <c r="J38" s="4" t="s">
        <v>432</v>
      </c>
      <c r="N38" s="5"/>
      <c r="AC38" s="373"/>
      <c r="AD38" s="199"/>
      <c r="AE38" s="199"/>
      <c r="AF38" s="375"/>
    </row>
    <row r="39" spans="1:32" ht="13.5">
      <c r="A39" s="2" t="s">
        <v>41</v>
      </c>
      <c r="B39" s="484">
        <v>0</v>
      </c>
      <c r="C39" s="5" t="s">
        <v>11</v>
      </c>
      <c r="D39" s="5" t="s">
        <v>66</v>
      </c>
      <c r="F39" s="322"/>
      <c r="G39" s="2" t="s">
        <v>36</v>
      </c>
      <c r="H39" s="320">
        <f>macf(H28,6)</f>
        <v>0</v>
      </c>
      <c r="I39" s="4" t="s">
        <v>166</v>
      </c>
      <c r="J39" s="4" t="s">
        <v>433</v>
      </c>
      <c r="N39" s="5"/>
      <c r="AC39" s="373">
        <f>-B36/2*1.3</f>
        <v>-0.195</v>
      </c>
      <c r="AD39" s="199"/>
      <c r="AE39" s="199"/>
      <c r="AF39" s="376">
        <f>B38-H30</f>
        <v>0.332594797381113</v>
      </c>
    </row>
    <row r="40" spans="1:32" ht="13.5">
      <c r="A40" s="2" t="s">
        <v>33</v>
      </c>
      <c r="B40" s="484">
        <v>0.45</v>
      </c>
      <c r="C40" s="5" t="s">
        <v>11</v>
      </c>
      <c r="D40" s="5" t="s">
        <v>53</v>
      </c>
      <c r="F40" s="322"/>
      <c r="G40" s="144" t="s">
        <v>73</v>
      </c>
      <c r="H40" s="317">
        <f>macf(H28,23)</f>
        <v>-0.6761873850481445</v>
      </c>
      <c r="I40" s="4" t="s">
        <v>166</v>
      </c>
      <c r="J40" s="4" t="s">
        <v>434</v>
      </c>
      <c r="N40" s="5"/>
      <c r="AC40" s="377">
        <f>-AC39</f>
        <v>0.195</v>
      </c>
      <c r="AD40" s="378"/>
      <c r="AE40" s="378"/>
      <c r="AF40" s="379">
        <f>AF39</f>
        <v>0.332594797381113</v>
      </c>
    </row>
    <row r="41" spans="1:27" ht="14.25" thickBot="1">
      <c r="A41" s="2" t="s">
        <v>56</v>
      </c>
      <c r="B41" s="486">
        <v>0.45</v>
      </c>
      <c r="C41" s="5" t="s">
        <v>11</v>
      </c>
      <c r="D41" s="5" t="s">
        <v>54</v>
      </c>
      <c r="F41" s="322"/>
      <c r="G41" s="30" t="s">
        <v>420</v>
      </c>
      <c r="H41" s="182">
        <f>macf(H28,13)</f>
        <v>0.38046538525924906</v>
      </c>
      <c r="I41" s="101" t="s">
        <v>11</v>
      </c>
      <c r="J41" s="101" t="s">
        <v>435</v>
      </c>
      <c r="N41" s="5"/>
      <c r="S41" s="5"/>
      <c r="T41" s="29" t="s">
        <v>410</v>
      </c>
      <c r="Z41" s="39"/>
      <c r="AA41" s="39"/>
    </row>
    <row r="42" spans="1:20" ht="14.25" thickTop="1">
      <c r="A42" s="2" t="s">
        <v>7</v>
      </c>
      <c r="B42" s="314">
        <f>VLOOKUP(B30,taba,2)</f>
        <v>1.08</v>
      </c>
      <c r="D42" s="5" t="s">
        <v>63</v>
      </c>
      <c r="F42" s="322"/>
      <c r="G42" s="144" t="s">
        <v>171</v>
      </c>
      <c r="H42" s="182">
        <f>macf(H28,14)</f>
        <v>0.45000045000044997</v>
      </c>
      <c r="I42" s="4" t="s">
        <v>11</v>
      </c>
      <c r="J42" s="4" t="s">
        <v>436</v>
      </c>
      <c r="N42" s="5"/>
      <c r="S42" s="5"/>
      <c r="T42" s="138" t="s">
        <v>537</v>
      </c>
    </row>
    <row r="43" spans="1:20" ht="13.5">
      <c r="A43" s="3" t="s">
        <v>8</v>
      </c>
      <c r="B43" s="104">
        <f>VLOOKUP(B30,taba,3)</f>
        <v>50</v>
      </c>
      <c r="C43" s="4" t="s">
        <v>9</v>
      </c>
      <c r="D43" s="5" t="s">
        <v>63</v>
      </c>
      <c r="F43" s="322"/>
      <c r="G43" s="144" t="s">
        <v>170</v>
      </c>
      <c r="H43" s="182">
        <f>macf(H28,15)</f>
        <v>0</v>
      </c>
      <c r="I43" s="4" t="s">
        <v>11</v>
      </c>
      <c r="J43" s="4" t="s">
        <v>437</v>
      </c>
      <c r="N43" s="5"/>
      <c r="S43" s="5"/>
      <c r="T43" s="29" t="s">
        <v>411</v>
      </c>
    </row>
    <row r="44" spans="1:20" ht="13.5">
      <c r="A44" s="2" t="s">
        <v>4</v>
      </c>
      <c r="B44" s="62">
        <f>B31/1.15</f>
        <v>434.7826086956522</v>
      </c>
      <c r="C44" s="5" t="s">
        <v>10</v>
      </c>
      <c r="D44" s="5" t="s">
        <v>63</v>
      </c>
      <c r="F44" s="322"/>
      <c r="G44" s="2" t="s">
        <v>421</v>
      </c>
      <c r="H44" s="423">
        <f>macf(H28,24)</f>
        <v>0.25728634941544537</v>
      </c>
      <c r="I44" s="4" t="s">
        <v>423</v>
      </c>
      <c r="J44" s="4" t="s">
        <v>438</v>
      </c>
      <c r="N44" s="5"/>
      <c r="S44" s="2" t="s">
        <v>383</v>
      </c>
      <c r="T44" s="138" t="s">
        <v>408</v>
      </c>
    </row>
    <row r="45" spans="1:20" ht="13.5">
      <c r="A45" s="3" t="s">
        <v>17</v>
      </c>
      <c r="B45" s="315">
        <f>B28/B40/IF(B39=0,B36,B37)/10000</f>
        <v>0</v>
      </c>
      <c r="D45" s="100" t="s">
        <v>447</v>
      </c>
      <c r="F45" s="322"/>
      <c r="G45" s="144" t="s">
        <v>443</v>
      </c>
      <c r="H45" s="317">
        <f>macf(H28,25)</f>
        <v>0</v>
      </c>
      <c r="I45" s="4" t="s">
        <v>423</v>
      </c>
      <c r="J45" s="4" t="s">
        <v>439</v>
      </c>
      <c r="N45" s="5"/>
      <c r="S45" s="2" t="s">
        <v>412</v>
      </c>
      <c r="T45" s="138" t="s">
        <v>538</v>
      </c>
    </row>
    <row r="46" spans="1:20" ht="13.5">
      <c r="A46" s="2" t="s">
        <v>1</v>
      </c>
      <c r="B46" s="62">
        <f>B33/1.5</f>
        <v>16.666666666666668</v>
      </c>
      <c r="C46" s="5" t="s">
        <v>10</v>
      </c>
      <c r="D46" s="5" t="s">
        <v>67</v>
      </c>
      <c r="F46" s="322">
        <v>18</v>
      </c>
      <c r="G46" s="144" t="s">
        <v>444</v>
      </c>
      <c r="H46" s="319">
        <f>macf(H28,26)</f>
        <v>0</v>
      </c>
      <c r="I46" s="4" t="s">
        <v>423</v>
      </c>
      <c r="J46" s="4" t="s">
        <v>440</v>
      </c>
      <c r="N46" s="5"/>
      <c r="S46" s="144" t="s">
        <v>445</v>
      </c>
      <c r="T46" s="138" t="s">
        <v>531</v>
      </c>
    </row>
    <row r="47" spans="1:20" ht="13.5">
      <c r="A47" s="78" t="s">
        <v>418</v>
      </c>
      <c r="B47" s="104">
        <f>VLOOKUP(B33,tabfck,5)</f>
        <v>2.1</v>
      </c>
      <c r="C47" s="101" t="s">
        <v>9</v>
      </c>
      <c r="D47" s="4" t="s">
        <v>448</v>
      </c>
      <c r="F47" s="2"/>
      <c r="I47" s="5"/>
      <c r="J47" s="2"/>
      <c r="N47" s="5"/>
      <c r="S47" s="144" t="s">
        <v>446</v>
      </c>
      <c r="T47" s="138" t="s">
        <v>382</v>
      </c>
    </row>
    <row r="48" spans="1:20" ht="13.5">
      <c r="A48" s="78" t="s">
        <v>19</v>
      </c>
      <c r="B48" s="104">
        <f>VLOOKUP(B$33,tabfck,7)</f>
        <v>2</v>
      </c>
      <c r="C48" s="101" t="s">
        <v>9</v>
      </c>
      <c r="D48" s="4" t="s">
        <v>449</v>
      </c>
      <c r="F48" s="2"/>
      <c r="H48" s="1" t="s">
        <v>61</v>
      </c>
      <c r="I48" s="5"/>
      <c r="J48" s="2"/>
      <c r="N48" s="5"/>
      <c r="S48" s="2" t="s">
        <v>540</v>
      </c>
      <c r="T48" s="138" t="s">
        <v>539</v>
      </c>
    </row>
    <row r="49" spans="1:21" s="56" customFormat="1" ht="13.5">
      <c r="A49" s="2" t="s">
        <v>31</v>
      </c>
      <c r="B49" s="104">
        <f>VLOOKUP(B$33,tabfck,8)</f>
        <v>2</v>
      </c>
      <c r="C49" s="5"/>
      <c r="D49" s="5" t="s">
        <v>406</v>
      </c>
      <c r="E49" s="1"/>
      <c r="F49" s="2"/>
      <c r="G49" s="1"/>
      <c r="H49" s="20" t="s">
        <v>442</v>
      </c>
      <c r="I49" s="1"/>
      <c r="J49" s="2"/>
      <c r="K49" s="1"/>
      <c r="L49" s="1"/>
      <c r="M49" s="1"/>
      <c r="N49" s="5"/>
      <c r="O49" s="1"/>
      <c r="S49" s="2" t="s">
        <v>542</v>
      </c>
      <c r="T49" s="138" t="s">
        <v>541</v>
      </c>
      <c r="U49" s="1"/>
    </row>
    <row r="50" spans="1:21" s="56" customFormat="1" ht="13.5">
      <c r="A50" s="78" t="s">
        <v>419</v>
      </c>
      <c r="B50" s="104">
        <f>VLOOKUP(B33,tabfck,4)</f>
        <v>3.5</v>
      </c>
      <c r="C50" s="101" t="s">
        <v>9</v>
      </c>
      <c r="D50" s="4" t="s">
        <v>448</v>
      </c>
      <c r="E50" s="1"/>
      <c r="F50" s="2"/>
      <c r="G50" s="144" t="s">
        <v>441</v>
      </c>
      <c r="H50" s="321">
        <f>H39-H40+H38</f>
        <v>0.6761873850481445</v>
      </c>
      <c r="I50" s="44">
        <f>H50/H37</f>
        <v>0.9999188575137942</v>
      </c>
      <c r="J50" s="1"/>
      <c r="K50" s="1"/>
      <c r="L50" s="1"/>
      <c r="M50" s="1"/>
      <c r="N50" s="5"/>
      <c r="O50" s="1"/>
      <c r="S50" s="2" t="s">
        <v>414</v>
      </c>
      <c r="T50" s="138" t="s">
        <v>415</v>
      </c>
      <c r="U50" s="1"/>
    </row>
    <row r="51" spans="1:15" s="56" customFormat="1" ht="13.5">
      <c r="A51" s="78" t="s">
        <v>20</v>
      </c>
      <c r="B51" s="104">
        <f>VLOOKUP(B33,tabfck,6)</f>
        <v>3.5</v>
      </c>
      <c r="C51" s="101" t="s">
        <v>9</v>
      </c>
      <c r="D51" s="4" t="s">
        <v>449</v>
      </c>
      <c r="E51" s="1"/>
      <c r="F51" s="2"/>
      <c r="G51" s="2"/>
      <c r="H51" s="199"/>
      <c r="I51" s="5"/>
      <c r="J51" s="1"/>
      <c r="K51" s="1"/>
      <c r="L51" s="1"/>
      <c r="M51" s="1"/>
      <c r="N51" s="5"/>
      <c r="O51" s="1"/>
    </row>
    <row r="52" spans="1:15" s="56" customFormat="1" ht="13.5">
      <c r="A52" s="2" t="s">
        <v>362</v>
      </c>
      <c r="B52" s="295">
        <f>1.05*VLOOKUP(B33,tabfck,3)/1.2*B47/B46</f>
        <v>3.4177500000000007</v>
      </c>
      <c r="C52" s="5"/>
      <c r="D52" s="4" t="s">
        <v>448</v>
      </c>
      <c r="E52" s="1"/>
      <c r="F52" s="2"/>
      <c r="G52" s="2"/>
      <c r="H52" s="199"/>
      <c r="I52" s="5"/>
      <c r="J52" s="1"/>
      <c r="K52" s="1"/>
      <c r="L52" s="1"/>
      <c r="M52" s="1"/>
      <c r="N52" s="5"/>
      <c r="O52" s="1"/>
    </row>
    <row r="53" spans="2:15" s="56" customFormat="1" ht="12">
      <c r="B53" s="1"/>
      <c r="C53" s="5"/>
      <c r="D53" s="5"/>
      <c r="E53" s="1"/>
      <c r="F53" s="2"/>
      <c r="G53" s="43"/>
      <c r="H53" s="5"/>
      <c r="I53" s="1"/>
      <c r="J53" s="1"/>
      <c r="K53" s="1"/>
      <c r="L53" s="1"/>
      <c r="M53" s="1"/>
      <c r="N53" s="5"/>
      <c r="O53" s="1"/>
    </row>
    <row r="54" spans="1:15" s="56" customFormat="1" ht="12.75" customHeight="1">
      <c r="A54" s="52"/>
      <c r="B54" s="52"/>
      <c r="C54" s="53"/>
      <c r="D54" s="53"/>
      <c r="E54" s="52"/>
      <c r="F54" s="54"/>
      <c r="G54" s="55"/>
      <c r="H54" s="53"/>
      <c r="I54" s="52"/>
      <c r="J54" s="52"/>
      <c r="K54" s="52"/>
      <c r="L54" s="52"/>
      <c r="M54" s="52"/>
      <c r="N54" s="53"/>
      <c r="O54" s="52"/>
    </row>
    <row r="55" spans="1:14" s="56" customFormat="1" ht="13.5">
      <c r="A55" s="58" t="s">
        <v>464</v>
      </c>
      <c r="C55" s="31"/>
      <c r="D55" s="31"/>
      <c r="F55" s="30"/>
      <c r="G55" s="57"/>
      <c r="H55" s="31"/>
      <c r="N55" s="31"/>
    </row>
    <row r="56" spans="1:14" s="56" customFormat="1" ht="12">
      <c r="A56" s="31" t="s">
        <v>70</v>
      </c>
      <c r="C56" s="31"/>
      <c r="D56" s="31"/>
      <c r="F56" s="30"/>
      <c r="G56" s="57"/>
      <c r="H56" s="31"/>
      <c r="N56" s="31"/>
    </row>
    <row r="57" spans="6:20" s="56" customFormat="1" ht="12.75" thickBot="1">
      <c r="F57" s="30"/>
      <c r="G57" s="57"/>
      <c r="H57" s="31"/>
      <c r="T57" s="29" t="s">
        <v>410</v>
      </c>
    </row>
    <row r="58" spans="1:20" s="56" customFormat="1" ht="12.75" thickTop="1">
      <c r="A58" s="2" t="s">
        <v>357</v>
      </c>
      <c r="B58" s="483" t="s">
        <v>6</v>
      </c>
      <c r="C58" s="5"/>
      <c r="D58" s="5" t="s">
        <v>417</v>
      </c>
      <c r="F58" s="30"/>
      <c r="G58" s="57"/>
      <c r="H58" s="31"/>
      <c r="T58" s="137" t="s">
        <v>501</v>
      </c>
    </row>
    <row r="59" spans="1:20" s="56" customFormat="1" ht="13.5">
      <c r="A59" s="2" t="s">
        <v>228</v>
      </c>
      <c r="B59" s="485">
        <v>500</v>
      </c>
      <c r="C59" s="5" t="s">
        <v>10</v>
      </c>
      <c r="D59" s="5" t="s">
        <v>63</v>
      </c>
      <c r="F59" s="30"/>
      <c r="G59" s="57"/>
      <c r="H59" s="61" t="str">
        <f>fMRd3(B63,B66,B67,B68,B64,B65,B69,B70,B71,B72)</f>
        <v>310215489133034503073302184749310235658231015782183101125205310124270233013311543101267877310126787733021666663101578218000000000000000000000000000000</v>
      </c>
      <c r="I59" s="101" t="s">
        <v>460</v>
      </c>
      <c r="T59" s="29" t="s">
        <v>411</v>
      </c>
    </row>
    <row r="60" spans="1:20" s="56" customFormat="1" ht="13.5">
      <c r="A60" s="3" t="s">
        <v>227</v>
      </c>
      <c r="B60" s="484">
        <v>1.15</v>
      </c>
      <c r="C60" s="5"/>
      <c r="D60" s="5" t="s">
        <v>63</v>
      </c>
      <c r="F60" s="323">
        <v>1</v>
      </c>
      <c r="G60" s="2" t="s">
        <v>35</v>
      </c>
      <c r="H60" s="385">
        <f>macf(H$59,F60)</f>
        <v>0.06456153036651581</v>
      </c>
      <c r="I60" s="4" t="s">
        <v>423</v>
      </c>
      <c r="J60" s="101" t="s">
        <v>424</v>
      </c>
      <c r="T60" s="29"/>
    </row>
    <row r="61" spans="1:20" s="56" customFormat="1" ht="13.5">
      <c r="A61" s="2" t="s">
        <v>14</v>
      </c>
      <c r="B61" s="485">
        <v>25</v>
      </c>
      <c r="C61" s="5" t="s">
        <v>10</v>
      </c>
      <c r="D61" s="4" t="s">
        <v>463</v>
      </c>
      <c r="F61" s="323">
        <v>2</v>
      </c>
      <c r="G61" s="3" t="s">
        <v>23</v>
      </c>
      <c r="H61" s="62">
        <f aca="true" t="shared" si="0" ref="H61:H70">macf(H$59,F61)</f>
        <v>450.307</v>
      </c>
      <c r="I61" s="66" t="s">
        <v>10</v>
      </c>
      <c r="J61" s="101" t="s">
        <v>429</v>
      </c>
      <c r="T61" s="29"/>
    </row>
    <row r="62" spans="1:20" s="56" customFormat="1" ht="13.5">
      <c r="A62" s="3" t="s">
        <v>230</v>
      </c>
      <c r="B62" s="485">
        <v>1.5</v>
      </c>
      <c r="C62" s="5"/>
      <c r="D62" s="5" t="s">
        <v>67</v>
      </c>
      <c r="F62" s="323">
        <v>3</v>
      </c>
      <c r="G62" s="3" t="s">
        <v>5</v>
      </c>
      <c r="H62" s="80">
        <f t="shared" si="0"/>
        <v>18.4749</v>
      </c>
      <c r="I62" s="67" t="s">
        <v>9</v>
      </c>
      <c r="J62" s="101" t="s">
        <v>427</v>
      </c>
      <c r="T62" s="29"/>
    </row>
    <row r="63" spans="1:20" s="56" customFormat="1" ht="13.5">
      <c r="A63" s="2" t="s">
        <v>47</v>
      </c>
      <c r="B63" s="485">
        <v>8.29</v>
      </c>
      <c r="C63" s="5" t="s">
        <v>13</v>
      </c>
      <c r="D63" s="101" t="s">
        <v>452</v>
      </c>
      <c r="F63" s="323">
        <v>4</v>
      </c>
      <c r="G63" s="59" t="s">
        <v>26</v>
      </c>
      <c r="H63" s="63">
        <f t="shared" si="0"/>
        <v>0.028044040360982885</v>
      </c>
      <c r="I63" s="66" t="s">
        <v>11</v>
      </c>
      <c r="J63" s="101" t="s">
        <v>454</v>
      </c>
      <c r="T63" s="29"/>
    </row>
    <row r="64" spans="1:20" s="56" customFormat="1" ht="12">
      <c r="A64" s="2" t="s">
        <v>0</v>
      </c>
      <c r="B64" s="484">
        <v>1</v>
      </c>
      <c r="C64" s="31" t="s">
        <v>11</v>
      </c>
      <c r="D64" s="101" t="s">
        <v>15</v>
      </c>
      <c r="F64" s="323">
        <v>5</v>
      </c>
      <c r="G64" s="59" t="s">
        <v>21</v>
      </c>
      <c r="H64" s="63">
        <f t="shared" si="0"/>
        <v>0.1729451521744394</v>
      </c>
      <c r="I64" s="68" t="s">
        <v>11</v>
      </c>
      <c r="J64" s="101" t="s">
        <v>455</v>
      </c>
      <c r="T64" s="29"/>
    </row>
    <row r="65" spans="1:21" s="56" customFormat="1" ht="12.75" thickBot="1">
      <c r="A65" s="2" t="s">
        <v>33</v>
      </c>
      <c r="B65" s="486">
        <v>0.1845</v>
      </c>
      <c r="C65" s="31" t="s">
        <v>11</v>
      </c>
      <c r="D65" s="101" t="s">
        <v>16</v>
      </c>
      <c r="F65" s="323">
        <v>6</v>
      </c>
      <c r="G65" s="59" t="s">
        <v>17</v>
      </c>
      <c r="H65" s="64">
        <f t="shared" si="0"/>
        <v>0.7986901481570224</v>
      </c>
      <c r="I65" s="66"/>
      <c r="J65" s="101" t="s">
        <v>413</v>
      </c>
      <c r="R65" s="1"/>
      <c r="S65" s="2" t="s">
        <v>383</v>
      </c>
      <c r="T65" s="138" t="s">
        <v>408</v>
      </c>
      <c r="U65" s="1"/>
    </row>
    <row r="66" spans="1:21" s="56" customFormat="1" ht="14.25" thickTop="1">
      <c r="A66" s="2" t="s">
        <v>4</v>
      </c>
      <c r="B66" s="325">
        <f>B59/B60</f>
        <v>434.7826086956522</v>
      </c>
      <c r="C66" s="31" t="s">
        <v>10</v>
      </c>
      <c r="D66" s="101" t="s">
        <v>63</v>
      </c>
      <c r="F66" s="323">
        <v>7</v>
      </c>
      <c r="G66" s="59" t="s">
        <v>18</v>
      </c>
      <c r="H66" s="64">
        <f t="shared" si="0"/>
        <v>0.4120279190117922</v>
      </c>
      <c r="I66" s="66"/>
      <c r="J66" s="101" t="s">
        <v>456</v>
      </c>
      <c r="R66" s="1"/>
      <c r="S66" s="2" t="s">
        <v>412</v>
      </c>
      <c r="T66" s="138" t="s">
        <v>409</v>
      </c>
      <c r="U66" s="1"/>
    </row>
    <row r="67" spans="1:21" s="56" customFormat="1" ht="13.5">
      <c r="A67" s="2" t="s">
        <v>7</v>
      </c>
      <c r="B67" s="104">
        <f>VLOOKUP(B58,taba,2)</f>
        <v>1.05</v>
      </c>
      <c r="C67" s="31"/>
      <c r="D67" s="101" t="s">
        <v>63</v>
      </c>
      <c r="F67" s="323">
        <v>8</v>
      </c>
      <c r="G67" s="3" t="s">
        <v>22</v>
      </c>
      <c r="H67" s="63">
        <f t="shared" si="0"/>
        <v>3.3115400000000004</v>
      </c>
      <c r="I67" s="67" t="s">
        <v>9</v>
      </c>
      <c r="J67" s="101" t="s">
        <v>425</v>
      </c>
      <c r="R67" s="1"/>
      <c r="S67" s="2" t="s">
        <v>413</v>
      </c>
      <c r="T67" s="138" t="s">
        <v>532</v>
      </c>
      <c r="U67" s="1"/>
    </row>
    <row r="68" spans="1:21" s="56" customFormat="1" ht="13.5">
      <c r="A68" s="3" t="s">
        <v>8</v>
      </c>
      <c r="B68" s="104">
        <f>VLOOKUP(B58,taba,3)</f>
        <v>25</v>
      </c>
      <c r="C68" s="4" t="s">
        <v>9</v>
      </c>
      <c r="D68" s="101" t="s">
        <v>63</v>
      </c>
      <c r="F68" s="323">
        <v>9</v>
      </c>
      <c r="G68" s="2" t="s">
        <v>36</v>
      </c>
      <c r="H68" s="63">
        <f t="shared" si="0"/>
        <v>0.37330565894048384</v>
      </c>
      <c r="I68" s="69" t="s">
        <v>39</v>
      </c>
      <c r="J68" s="101" t="s">
        <v>457</v>
      </c>
      <c r="R68" s="1"/>
      <c r="S68" s="2" t="s">
        <v>414</v>
      </c>
      <c r="T68" s="138" t="s">
        <v>415</v>
      </c>
      <c r="U68" s="1"/>
    </row>
    <row r="69" spans="1:10" s="56" customFormat="1" ht="13.5">
      <c r="A69" s="2" t="s">
        <v>1</v>
      </c>
      <c r="B69" s="326">
        <f>B61/B62</f>
        <v>16.666666666666668</v>
      </c>
      <c r="C69" s="31" t="s">
        <v>10</v>
      </c>
      <c r="D69" s="101" t="s">
        <v>67</v>
      </c>
      <c r="F69" s="323">
        <v>10</v>
      </c>
      <c r="G69" s="2" t="s">
        <v>37</v>
      </c>
      <c r="H69" s="63">
        <f t="shared" si="0"/>
        <v>0.37330565894048384</v>
      </c>
      <c r="I69" s="66" t="s">
        <v>39</v>
      </c>
      <c r="J69" s="101" t="s">
        <v>458</v>
      </c>
    </row>
    <row r="70" spans="1:10" s="56" customFormat="1" ht="13.5">
      <c r="A70" s="3" t="s">
        <v>19</v>
      </c>
      <c r="B70" s="104">
        <f>VLOOKUP(B61,tabfck,7)</f>
        <v>2</v>
      </c>
      <c r="C70" s="4" t="s">
        <v>9</v>
      </c>
      <c r="D70" s="101" t="s">
        <v>67</v>
      </c>
      <c r="F70" s="323">
        <v>11</v>
      </c>
      <c r="G70" s="3" t="s">
        <v>38</v>
      </c>
      <c r="H70" s="65">
        <f t="shared" si="0"/>
        <v>16.666600000000003</v>
      </c>
      <c r="I70" s="66" t="s">
        <v>10</v>
      </c>
      <c r="J70" s="101" t="s">
        <v>459</v>
      </c>
    </row>
    <row r="71" spans="1:4" s="56" customFormat="1" ht="13.5">
      <c r="A71" s="3" t="s">
        <v>20</v>
      </c>
      <c r="B71" s="104">
        <f>VLOOKUP(B61,tabfck,6)</f>
        <v>3.5</v>
      </c>
      <c r="C71" s="4" t="s">
        <v>9</v>
      </c>
      <c r="D71" s="101" t="s">
        <v>67</v>
      </c>
    </row>
    <row r="72" spans="1:11" s="56" customFormat="1" ht="13.5">
      <c r="A72" s="30" t="s">
        <v>31</v>
      </c>
      <c r="B72" s="104">
        <f>VLOOKUP(B61,tabfck,8)</f>
        <v>2</v>
      </c>
      <c r="D72" s="31" t="s">
        <v>406</v>
      </c>
      <c r="G72" s="78" t="s">
        <v>150</v>
      </c>
      <c r="H72" s="136">
        <f>H62</f>
        <v>18.4749</v>
      </c>
      <c r="K72" s="56" t="s">
        <v>72</v>
      </c>
    </row>
    <row r="73" spans="1:11" s="56" customFormat="1" ht="13.5">
      <c r="A73" s="3" t="s">
        <v>17</v>
      </c>
      <c r="B73" s="327">
        <f>B63/B64/B65/10000</f>
        <v>0.004493224932249322</v>
      </c>
      <c r="C73" s="31"/>
      <c r="D73" s="324" t="s">
        <v>453</v>
      </c>
      <c r="K73" s="309">
        <f>H68/H69</f>
        <v>1</v>
      </c>
    </row>
    <row r="74" s="56" customFormat="1" ht="12">
      <c r="D74" s="31"/>
    </row>
    <row r="75" spans="3:9" s="56" customFormat="1" ht="12">
      <c r="C75" s="31"/>
      <c r="D75" s="31"/>
      <c r="F75" s="30"/>
      <c r="G75" s="57"/>
      <c r="H75" s="31"/>
      <c r="I75" s="66"/>
    </row>
    <row r="76" spans="1:15" s="56" customFormat="1" ht="12">
      <c r="A76" s="52"/>
      <c r="B76" s="52"/>
      <c r="C76" s="53"/>
      <c r="D76" s="53"/>
      <c r="E76" s="52"/>
      <c r="F76" s="54"/>
      <c r="G76" s="55"/>
      <c r="H76" s="53"/>
      <c r="I76" s="52"/>
      <c r="J76" s="52"/>
      <c r="K76" s="52"/>
      <c r="L76" s="52"/>
      <c r="M76" s="52"/>
      <c r="N76" s="52"/>
      <c r="O76" s="52"/>
    </row>
    <row r="77" spans="1:8" s="56" customFormat="1" ht="13.5">
      <c r="A77" s="58" t="s">
        <v>71</v>
      </c>
      <c r="C77" s="31"/>
      <c r="D77" s="31"/>
      <c r="F77" s="30"/>
      <c r="G77" s="57" t="s">
        <v>75</v>
      </c>
      <c r="H77" s="31"/>
    </row>
    <row r="78" spans="1:20" s="56" customFormat="1" ht="13.5">
      <c r="A78" s="31" t="s">
        <v>70</v>
      </c>
      <c r="C78" s="31"/>
      <c r="D78" s="31"/>
      <c r="F78" s="30"/>
      <c r="G78" s="384" t="s">
        <v>5</v>
      </c>
      <c r="T78" s="29" t="s">
        <v>410</v>
      </c>
    </row>
    <row r="79" spans="3:20" s="56" customFormat="1" ht="14.25" thickBot="1">
      <c r="C79" s="31"/>
      <c r="D79" s="31"/>
      <c r="F79" s="30"/>
      <c r="G79" s="237"/>
      <c r="H79" s="36" t="s">
        <v>27</v>
      </c>
      <c r="I79" s="312"/>
      <c r="T79" s="137" t="s">
        <v>500</v>
      </c>
    </row>
    <row r="80" spans="1:20" s="56" customFormat="1" ht="14.25" thickTop="1">
      <c r="A80" s="2" t="s">
        <v>47</v>
      </c>
      <c r="B80" s="483">
        <v>15.457</v>
      </c>
      <c r="C80" s="5" t="s">
        <v>13</v>
      </c>
      <c r="D80" s="31" t="s">
        <v>62</v>
      </c>
      <c r="F80" s="30"/>
      <c r="G80" s="311">
        <v>0</v>
      </c>
      <c r="H80" s="38">
        <f>macf(K80,1)</f>
        <v>0</v>
      </c>
      <c r="I80" s="37"/>
      <c r="K80" s="61" t="str">
        <f aca="true" t="shared" si="1" ref="K80:K121">fMRd4(G80,B$80,B$88,B$95,B$96,B$86,B$87,B$89,B$90,B$91,B$92)</f>
        <v>000000000000000000000000000000000000000000000000000000000000000000000000000000000000000000000000000000000000000000000000000000000000000000000000000000</v>
      </c>
      <c r="L80" s="61" t="s">
        <v>55</v>
      </c>
      <c r="T80" s="29" t="s">
        <v>411</v>
      </c>
    </row>
    <row r="81" spans="1:20" s="56" customFormat="1" ht="12">
      <c r="A81" s="30" t="s">
        <v>357</v>
      </c>
      <c r="B81" s="487" t="s">
        <v>43</v>
      </c>
      <c r="D81" s="31" t="s">
        <v>63</v>
      </c>
      <c r="F81" s="329">
        <v>0</v>
      </c>
      <c r="G81" s="311">
        <f>B88/200</f>
        <v>2.1739130434782608</v>
      </c>
      <c r="H81" s="38">
        <f aca="true" t="shared" si="2" ref="H81:H121">macf(K81,1)</f>
        <v>250.409</v>
      </c>
      <c r="I81" s="37"/>
      <c r="K81" s="61" t="str">
        <f t="shared" si="1"/>
        <v>330325040933034347823301217391310147970231012683783101155096310126936133011876223101148799310114879933021660283101268378310110000000000000000000000000</v>
      </c>
      <c r="L81" s="61" t="s">
        <v>55</v>
      </c>
      <c r="S81" s="2" t="s">
        <v>383</v>
      </c>
      <c r="T81" s="138" t="s">
        <v>408</v>
      </c>
    </row>
    <row r="82" spans="1:20" s="56" customFormat="1" ht="13.5">
      <c r="A82" s="2" t="s">
        <v>228</v>
      </c>
      <c r="B82" s="485">
        <v>500</v>
      </c>
      <c r="C82" s="5" t="s">
        <v>10</v>
      </c>
      <c r="D82" s="5" t="s">
        <v>63</v>
      </c>
      <c r="F82" s="329">
        <v>1</v>
      </c>
      <c r="G82" s="311">
        <f aca="true" t="shared" si="3" ref="G82:G121">G$81+(0.9*B$96-G$81)*F82/40</f>
        <v>3.244565217391304</v>
      </c>
      <c r="H82" s="38">
        <f t="shared" si="2"/>
        <v>254.023</v>
      </c>
      <c r="I82" s="37"/>
      <c r="K82" s="61" t="str">
        <f t="shared" si="1"/>
        <v>330325402333034355613301324456310153078231012650333101139919310125918733012336703101148533310114853333021666663101265033310110000000000000000000000000</v>
      </c>
      <c r="L82" s="61" t="s">
        <v>55</v>
      </c>
      <c r="S82" s="2" t="s">
        <v>412</v>
      </c>
      <c r="T82" s="138" t="s">
        <v>409</v>
      </c>
    </row>
    <row r="83" spans="1:20" s="56" customFormat="1" ht="13.5">
      <c r="A83" s="3" t="s">
        <v>227</v>
      </c>
      <c r="B83" s="484">
        <v>1.15</v>
      </c>
      <c r="C83" s="5"/>
      <c r="D83" s="5" t="s">
        <v>63</v>
      </c>
      <c r="F83" s="329">
        <v>2</v>
      </c>
      <c r="G83" s="311">
        <f t="shared" si="3"/>
        <v>4.315217391304348</v>
      </c>
      <c r="H83" s="38">
        <f t="shared" si="2"/>
        <v>255.791</v>
      </c>
      <c r="I83" s="37"/>
      <c r="K83" s="61" t="str">
        <f t="shared" si="1"/>
        <v>330325579133034363393301431521310156478631012636713101131260310125029133012799283101148268310114826833021666663101263671310110000000000000000000000000</v>
      </c>
      <c r="L83" s="61" t="s">
        <v>55</v>
      </c>
      <c r="S83" s="2" t="s">
        <v>413</v>
      </c>
      <c r="T83" s="138" t="s">
        <v>531</v>
      </c>
    </row>
    <row r="84" spans="1:20" s="56" customFormat="1" ht="13.5">
      <c r="A84" s="2" t="s">
        <v>14</v>
      </c>
      <c r="B84" s="485">
        <v>25</v>
      </c>
      <c r="C84" s="5" t="s">
        <v>10</v>
      </c>
      <c r="D84" s="4" t="s">
        <v>463</v>
      </c>
      <c r="F84" s="329">
        <v>3</v>
      </c>
      <c r="G84" s="311">
        <f t="shared" si="3"/>
        <v>5.385869565217391</v>
      </c>
      <c r="H84" s="38">
        <f t="shared" si="2"/>
        <v>256.889</v>
      </c>
      <c r="I84" s="37"/>
      <c r="K84" s="61" t="str">
        <f t="shared" si="1"/>
        <v>330325688933034371183301538586310158888331012630133101125665310124331633013264203101148004310114800433021666663101263013310110000000000000000000000000</v>
      </c>
      <c r="L84" s="61" t="s">
        <v>55</v>
      </c>
      <c r="S84" s="2" t="s">
        <v>414</v>
      </c>
      <c r="T84" s="138" t="s">
        <v>415</v>
      </c>
    </row>
    <row r="85" spans="1:12" s="56" customFormat="1" ht="13.5">
      <c r="A85" s="3" t="s">
        <v>230</v>
      </c>
      <c r="B85" s="485">
        <v>1.5</v>
      </c>
      <c r="C85" s="5"/>
      <c r="D85" s="5" t="s">
        <v>67</v>
      </c>
      <c r="F85" s="329">
        <v>4</v>
      </c>
      <c r="G85" s="311">
        <f t="shared" si="3"/>
        <v>6.456521739130435</v>
      </c>
      <c r="H85" s="38">
        <f t="shared" si="2"/>
        <v>257.307</v>
      </c>
      <c r="I85" s="37"/>
      <c r="K85" s="61" t="str">
        <f t="shared" si="1"/>
        <v>330325730733034375013301591176310159827731012628153101123584310124048033013493433101147875310114787533021666663101262815310110000000000000000000000000</v>
      </c>
      <c r="L85" s="61" t="s">
        <v>55</v>
      </c>
    </row>
    <row r="86" spans="1:12" s="56" customFormat="1" ht="12">
      <c r="A86" s="2" t="s">
        <v>0</v>
      </c>
      <c r="B86" s="484">
        <v>0.3</v>
      </c>
      <c r="C86" s="31" t="s">
        <v>11</v>
      </c>
      <c r="D86" s="31" t="s">
        <v>15</v>
      </c>
      <c r="F86" s="329">
        <v>5</v>
      </c>
      <c r="G86" s="311">
        <f t="shared" si="3"/>
        <v>7.5271739130434785</v>
      </c>
      <c r="H86" s="38">
        <f t="shared" si="2"/>
        <v>257.307</v>
      </c>
      <c r="I86" s="37"/>
      <c r="K86" s="61" t="str">
        <f t="shared" si="1"/>
        <v>330325730733034375013301591176310159827731012628153101123584310124048033013493433101147875310114787533021666663101262815310110000000000000000000000000</v>
      </c>
      <c r="L86" s="61" t="s">
        <v>55</v>
      </c>
    </row>
    <row r="87" spans="1:12" s="56" customFormat="1" ht="12.75" thickBot="1">
      <c r="A87" s="2" t="s">
        <v>33</v>
      </c>
      <c r="B87" s="486">
        <v>0.45</v>
      </c>
      <c r="C87" s="31" t="s">
        <v>11</v>
      </c>
      <c r="D87" s="31" t="s">
        <v>16</v>
      </c>
      <c r="F87" s="329">
        <v>6</v>
      </c>
      <c r="G87" s="311">
        <f t="shared" si="3"/>
        <v>8.597826086956522</v>
      </c>
      <c r="H87" s="38">
        <f t="shared" si="2"/>
        <v>257.307</v>
      </c>
      <c r="I87" s="37"/>
      <c r="K87" s="61" t="str">
        <f t="shared" si="1"/>
        <v>330325730733034375013301591176310159827731012628153101123584310124048033013493433101147875310114787533021666663101262815310110000000000000000000000000</v>
      </c>
      <c r="L87" s="61" t="s">
        <v>55</v>
      </c>
    </row>
    <row r="88" spans="1:12" s="56" customFormat="1" ht="14.25" thickTop="1">
      <c r="A88" s="2" t="s">
        <v>4</v>
      </c>
      <c r="B88" s="325">
        <f>B82/B83</f>
        <v>434.7826086956522</v>
      </c>
      <c r="C88" s="31" t="s">
        <v>10</v>
      </c>
      <c r="D88" s="31" t="s">
        <v>63</v>
      </c>
      <c r="F88" s="329">
        <v>7</v>
      </c>
      <c r="G88" s="311">
        <f t="shared" si="3"/>
        <v>9.668478260869566</v>
      </c>
      <c r="H88" s="38">
        <f t="shared" si="2"/>
        <v>257.307</v>
      </c>
      <c r="I88" s="37"/>
      <c r="K88" s="61" t="str">
        <f t="shared" si="1"/>
        <v>330325730733034375013301591176310159827731012628153101123584310124048033013493433101147875310114787533021666663101262815310110000000000000000000000000</v>
      </c>
      <c r="L88" s="61" t="s">
        <v>55</v>
      </c>
    </row>
    <row r="89" spans="1:12" s="56" customFormat="1" ht="13.5">
      <c r="A89" s="2" t="s">
        <v>1</v>
      </c>
      <c r="B89" s="326">
        <f>B84/B85</f>
        <v>16.666666666666668</v>
      </c>
      <c r="C89" s="31" t="s">
        <v>10</v>
      </c>
      <c r="D89" s="31" t="s">
        <v>67</v>
      </c>
      <c r="F89" s="329">
        <v>8</v>
      </c>
      <c r="G89" s="311">
        <f t="shared" si="3"/>
        <v>10.73913043478261</v>
      </c>
      <c r="H89" s="38">
        <f t="shared" si="2"/>
        <v>257.307</v>
      </c>
      <c r="I89" s="37"/>
      <c r="K89" s="61" t="str">
        <f t="shared" si="1"/>
        <v>330325730733034375013301591176310159827731012628153101123584310124048033013493433101147875310114787533021666663101262815310110000000000000000000000000</v>
      </c>
      <c r="L89" s="61" t="s">
        <v>55</v>
      </c>
    </row>
    <row r="90" spans="1:12" s="56" customFormat="1" ht="13.5">
      <c r="A90" s="3" t="s">
        <v>19</v>
      </c>
      <c r="B90" s="104">
        <f>VLOOKUP(B84,tabfck,7)</f>
        <v>2</v>
      </c>
      <c r="C90" s="4" t="s">
        <v>9</v>
      </c>
      <c r="D90" s="31" t="s">
        <v>67</v>
      </c>
      <c r="F90" s="329">
        <v>9</v>
      </c>
      <c r="G90" s="311">
        <f t="shared" si="3"/>
        <v>11.809782608695652</v>
      </c>
      <c r="H90" s="38">
        <f t="shared" si="2"/>
        <v>257.307</v>
      </c>
      <c r="I90" s="37"/>
      <c r="K90" s="61" t="str">
        <f t="shared" si="1"/>
        <v>330325730733034375013301591176310159827731012628153101123584310124048033013493433101147875310114787533021666663101262815310110000000000000000000000000</v>
      </c>
      <c r="L90" s="61" t="s">
        <v>55</v>
      </c>
    </row>
    <row r="91" spans="1:12" s="56" customFormat="1" ht="13.5">
      <c r="A91" s="3" t="s">
        <v>20</v>
      </c>
      <c r="B91" s="104">
        <f>VLOOKUP(B84,tabfck,6)</f>
        <v>3.5</v>
      </c>
      <c r="C91" s="4" t="s">
        <v>9</v>
      </c>
      <c r="D91" s="31" t="s">
        <v>67</v>
      </c>
      <c r="F91" s="329">
        <v>10</v>
      </c>
      <c r="G91" s="311">
        <f t="shared" si="3"/>
        <v>12.880434782608695</v>
      </c>
      <c r="H91" s="38">
        <f t="shared" si="2"/>
        <v>257.307</v>
      </c>
      <c r="I91" s="37"/>
      <c r="K91" s="61" t="str">
        <f t="shared" si="1"/>
        <v>330325730733034375013301591176310159827731012628153101123584310124048033013493433101147875310114787533021666663101262815310110000000000000000000000000</v>
      </c>
      <c r="L91" s="61" t="s">
        <v>55</v>
      </c>
    </row>
    <row r="92" spans="1:12" s="56" customFormat="1" ht="12">
      <c r="A92" s="2" t="s">
        <v>31</v>
      </c>
      <c r="B92" s="104">
        <f>VLOOKUP(B84,tabfck,8)</f>
        <v>2</v>
      </c>
      <c r="D92" s="31" t="s">
        <v>406</v>
      </c>
      <c r="F92" s="329">
        <v>11</v>
      </c>
      <c r="G92" s="311">
        <f t="shared" si="3"/>
        <v>13.951086956521742</v>
      </c>
      <c r="H92" s="38">
        <f t="shared" si="2"/>
        <v>257.307</v>
      </c>
      <c r="I92" s="37"/>
      <c r="K92" s="61" t="str">
        <f>fMRd4(G92,B$80,B$88,B$95,B$96,B$86,B$87,B$89,B$90,B$91,B$92)</f>
        <v>330325730733034375013301591176310159827731012628153101123584310124048033013493433101147875310114787533021666663101262815310110000000000000000000000000</v>
      </c>
      <c r="L92" s="61" t="s">
        <v>55</v>
      </c>
    </row>
    <row r="93" spans="1:12" s="56" customFormat="1" ht="13.5">
      <c r="A93" s="3" t="s">
        <v>17</v>
      </c>
      <c r="B93" s="328">
        <f>B80/B86/B87/10000</f>
        <v>0.01144962962962963</v>
      </c>
      <c r="C93" s="31"/>
      <c r="D93" s="324" t="s">
        <v>453</v>
      </c>
      <c r="F93" s="329">
        <v>12</v>
      </c>
      <c r="G93" s="311">
        <f t="shared" si="3"/>
        <v>15.021739130434781</v>
      </c>
      <c r="H93" s="38">
        <f t="shared" si="2"/>
        <v>257.307</v>
      </c>
      <c r="I93" s="37"/>
      <c r="K93" s="61" t="str">
        <f t="shared" si="1"/>
        <v>330325730733034375013301591176310159827731012628153101123584310124048033013493433101147875310114787533021666663101262815310110000000000000000000000000</v>
      </c>
      <c r="L93" s="61" t="s">
        <v>55</v>
      </c>
    </row>
    <row r="94" spans="1:12" s="56" customFormat="1" ht="13.5">
      <c r="A94" s="3" t="s">
        <v>550</v>
      </c>
      <c r="B94" s="182">
        <f>B88/200</f>
        <v>2.1739130434782608</v>
      </c>
      <c r="C94" s="4" t="s">
        <v>9</v>
      </c>
      <c r="D94" s="75" t="s">
        <v>74</v>
      </c>
      <c r="F94" s="329">
        <v>13</v>
      </c>
      <c r="G94" s="311">
        <f t="shared" si="3"/>
        <v>16.092391304347828</v>
      </c>
      <c r="H94" s="38">
        <f t="shared" si="2"/>
        <v>257.307</v>
      </c>
      <c r="I94" s="37"/>
      <c r="K94" s="61" t="str">
        <f t="shared" si="1"/>
        <v>330325730733034375013301591176310159827731012628153101123584310124048033013493433101147875310114787533021666663101262815310110000000000000000000000000</v>
      </c>
      <c r="L94" s="61" t="s">
        <v>55</v>
      </c>
    </row>
    <row r="95" spans="1:12" s="56" customFormat="1" ht="12">
      <c r="A95" s="2" t="s">
        <v>7</v>
      </c>
      <c r="B95" s="104">
        <f>VLOOKUP(B81,taba,2)</f>
        <v>1.08</v>
      </c>
      <c r="C95" s="31"/>
      <c r="D95" s="31" t="s">
        <v>63</v>
      </c>
      <c r="F95" s="329">
        <v>14</v>
      </c>
      <c r="G95" s="311">
        <f t="shared" si="3"/>
        <v>17.16304347826087</v>
      </c>
      <c r="H95" s="38">
        <f t="shared" si="2"/>
        <v>257.307</v>
      </c>
      <c r="I95" s="37"/>
      <c r="K95" s="61" t="str">
        <f t="shared" si="1"/>
        <v>330325730733034375013301591176310159827731012628153101123584310124048033013493433101147875310114787533021666663101262815310110000000000000000000000000</v>
      </c>
      <c r="L95" s="61" t="s">
        <v>55</v>
      </c>
    </row>
    <row r="96" spans="1:12" s="56" customFormat="1" ht="13.5">
      <c r="A96" s="3" t="s">
        <v>8</v>
      </c>
      <c r="B96" s="104">
        <f>VLOOKUP(B81,taba,3)</f>
        <v>50</v>
      </c>
      <c r="C96" s="4" t="s">
        <v>9</v>
      </c>
      <c r="D96" s="31" t="s">
        <v>63</v>
      </c>
      <c r="F96" s="329">
        <v>15</v>
      </c>
      <c r="G96" s="311">
        <f t="shared" si="3"/>
        <v>18.233695652173914</v>
      </c>
      <c r="H96" s="38">
        <f t="shared" si="2"/>
        <v>257.307</v>
      </c>
      <c r="I96" s="37"/>
      <c r="K96" s="61" t="str">
        <f t="shared" si="1"/>
        <v>330325730733034375013301591176310159827731012628153101123584310124048033013493433101147875310114787533021666663101262815310110000000000000000000000000</v>
      </c>
      <c r="L96" s="61" t="s">
        <v>55</v>
      </c>
    </row>
    <row r="97" spans="1:12" s="56" customFormat="1" ht="13.5">
      <c r="A97" s="301" t="s">
        <v>461</v>
      </c>
      <c r="B97" s="380">
        <f>MAX(H80:H121)</f>
        <v>257.307</v>
      </c>
      <c r="C97" s="101" t="s">
        <v>12</v>
      </c>
      <c r="D97" s="101" t="s">
        <v>462</v>
      </c>
      <c r="F97" s="329">
        <v>16</v>
      </c>
      <c r="G97" s="311">
        <f t="shared" si="3"/>
        <v>19.304347826086957</v>
      </c>
      <c r="H97" s="38">
        <f t="shared" si="2"/>
        <v>257.307</v>
      </c>
      <c r="I97" s="37"/>
      <c r="K97" s="61" t="str">
        <f t="shared" si="1"/>
        <v>330325730733034375013301591176310159827731012628153101123584310124048033013493433101147875310114787533021666663101262815310110000000000000000000000000</v>
      </c>
      <c r="L97" s="61" t="s">
        <v>55</v>
      </c>
    </row>
    <row r="98" spans="1:12" s="56" customFormat="1" ht="13.5">
      <c r="A98" s="301" t="s">
        <v>548</v>
      </c>
      <c r="B98" s="62">
        <f>H81</f>
        <v>250.409</v>
      </c>
      <c r="C98" s="101" t="s">
        <v>12</v>
      </c>
      <c r="D98" s="101" t="s">
        <v>551</v>
      </c>
      <c r="F98" s="329">
        <v>17</v>
      </c>
      <c r="G98" s="311">
        <f t="shared" si="3"/>
        <v>20.375000000000004</v>
      </c>
      <c r="H98" s="38">
        <f t="shared" si="2"/>
        <v>257.307</v>
      </c>
      <c r="I98" s="37"/>
      <c r="K98" s="61" t="str">
        <f t="shared" si="1"/>
        <v>330325730733034375013301591176310159827731012628153101123584310124048033013493433101147875310114787533021666663101262815310110000000000000000000000000</v>
      </c>
      <c r="L98" s="61" t="s">
        <v>55</v>
      </c>
    </row>
    <row r="99" spans="1:12" s="56" customFormat="1" ht="13.5">
      <c r="A99" s="30" t="s">
        <v>549</v>
      </c>
      <c r="B99" s="76">
        <f>H81/H121</f>
        <v>0.9731915571671194</v>
      </c>
      <c r="C99" s="31"/>
      <c r="D99" s="31"/>
      <c r="F99" s="329">
        <v>18</v>
      </c>
      <c r="G99" s="311">
        <f t="shared" si="3"/>
        <v>21.445652173913047</v>
      </c>
      <c r="H99" s="38">
        <f t="shared" si="2"/>
        <v>257.307</v>
      </c>
      <c r="I99" s="37"/>
      <c r="K99" s="61" t="str">
        <f t="shared" si="1"/>
        <v>330325730733034375013301591176310159827731012628153101123584310124048033013493433101147875310114787533021666663101262815310110000000000000000000000000</v>
      </c>
      <c r="L99" s="61" t="s">
        <v>55</v>
      </c>
    </row>
    <row r="100" spans="1:12" s="56" customFormat="1" ht="12">
      <c r="A100" s="137"/>
      <c r="C100" s="31"/>
      <c r="D100" s="31"/>
      <c r="F100" s="329">
        <v>19</v>
      </c>
      <c r="G100" s="311">
        <f t="shared" si="3"/>
        <v>22.51630434782609</v>
      </c>
      <c r="H100" s="38">
        <f t="shared" si="2"/>
        <v>257.307</v>
      </c>
      <c r="I100" s="37"/>
      <c r="K100" s="61" t="str">
        <f t="shared" si="1"/>
        <v>330325730733034375013301591176310159827731012628153101123584310124048033013493433101147875310114787533021666663101262815310110000000000000000000000000</v>
      </c>
      <c r="L100" s="61" t="s">
        <v>55</v>
      </c>
    </row>
    <row r="101" spans="6:12" s="56" customFormat="1" ht="12.75" thickBot="1">
      <c r="F101" s="329">
        <v>20</v>
      </c>
      <c r="G101" s="311">
        <f t="shared" si="3"/>
        <v>23.586956521739133</v>
      </c>
      <c r="H101" s="38">
        <f t="shared" si="2"/>
        <v>257.307</v>
      </c>
      <c r="I101" s="37"/>
      <c r="K101" s="61" t="str">
        <f t="shared" si="1"/>
        <v>330325730733034375013301591176310159827731012628153101123584310124048033013493433101147875310114787533021666663101262815310110000000000000000000000000</v>
      </c>
      <c r="L101" s="61" t="s">
        <v>55</v>
      </c>
    </row>
    <row r="102" spans="1:12" s="56" customFormat="1" ht="15" thickBot="1" thickTop="1">
      <c r="A102" s="30" t="s">
        <v>669</v>
      </c>
      <c r="B102" s="488">
        <f>500/200/1.15</f>
        <v>2.173913043478261</v>
      </c>
      <c r="C102" s="4" t="s">
        <v>9</v>
      </c>
      <c r="F102" s="329">
        <v>21</v>
      </c>
      <c r="G102" s="311">
        <f t="shared" si="3"/>
        <v>24.657608695652176</v>
      </c>
      <c r="H102" s="38">
        <f t="shared" si="2"/>
        <v>257.307</v>
      </c>
      <c r="I102" s="37"/>
      <c r="K102" s="61" t="str">
        <f t="shared" si="1"/>
        <v>330325730733034375013301591176310159827731012628153101123584310124048033013493433101147875310114787533021666663101262815310110000000000000000000000000</v>
      </c>
      <c r="L102" s="61" t="s">
        <v>55</v>
      </c>
    </row>
    <row r="103" spans="1:12" s="56" customFormat="1" ht="14.25" thickTop="1">
      <c r="A103" s="30" t="s">
        <v>35</v>
      </c>
      <c r="B103" s="436">
        <f>macf(fMRd4(B102,B$80,B$88,B$95,B$96,B$86,B$87,B$89,B$90,B$91,B$92),1)</f>
        <v>250.409</v>
      </c>
      <c r="C103" s="31" t="s">
        <v>12</v>
      </c>
      <c r="D103" s="31"/>
      <c r="F103" s="329">
        <v>22</v>
      </c>
      <c r="G103" s="311">
        <f t="shared" si="3"/>
        <v>25.728260869565222</v>
      </c>
      <c r="H103" s="38">
        <f t="shared" si="2"/>
        <v>257.307</v>
      </c>
      <c r="I103" s="37"/>
      <c r="K103" s="61" t="str">
        <f t="shared" si="1"/>
        <v>330325730733034375013301591176310159827731012628153101123584310124048033013493433101147875310114787533021666663101262815310110000000000000000000000000</v>
      </c>
      <c r="L103" s="61" t="s">
        <v>55</v>
      </c>
    </row>
    <row r="104" spans="3:12" s="56" customFormat="1" ht="12">
      <c r="C104" s="31"/>
      <c r="D104" s="31"/>
      <c r="F104" s="329">
        <v>23</v>
      </c>
      <c r="G104" s="311">
        <f t="shared" si="3"/>
        <v>26.798913043478265</v>
      </c>
      <c r="H104" s="38">
        <f t="shared" si="2"/>
        <v>257.307</v>
      </c>
      <c r="I104" s="37"/>
      <c r="K104" s="61" t="str">
        <f t="shared" si="1"/>
        <v>330325730733034375013301591176310159827731012628153101123584310124048033013493433101147875310114787533021666663101262815310110000000000000000000000000</v>
      </c>
      <c r="L104" s="61" t="s">
        <v>55</v>
      </c>
    </row>
    <row r="105" spans="3:14" s="56" customFormat="1" ht="12">
      <c r="C105" s="31"/>
      <c r="D105" s="31"/>
      <c r="F105" s="329">
        <v>24</v>
      </c>
      <c r="G105" s="311">
        <f t="shared" si="3"/>
        <v>27.869565217391305</v>
      </c>
      <c r="H105" s="38">
        <f t="shared" si="2"/>
        <v>257.307</v>
      </c>
      <c r="I105" s="37"/>
      <c r="K105" s="61" t="str">
        <f t="shared" si="1"/>
        <v>330325730733034375013301591176310159827731012628153101123584310124048033013493433101147875310114787533021666663101262815310110000000000000000000000000</v>
      </c>
      <c r="L105" s="61" t="s">
        <v>55</v>
      </c>
      <c r="M105" s="82" t="str">
        <f>VLOOKUP(B97,H80:K121,4)</f>
        <v>330325730733034375013301591176310159827731012628153101123584310124048033013493433101147875310114787533021666663101262815310110000000000000000000000000</v>
      </c>
      <c r="N105" s="56" t="s">
        <v>460</v>
      </c>
    </row>
    <row r="106" spans="3:12" s="56" customFormat="1" ht="12">
      <c r="C106" s="31"/>
      <c r="D106" s="31"/>
      <c r="F106" s="329">
        <v>25</v>
      </c>
      <c r="G106" s="311">
        <f t="shared" si="3"/>
        <v>28.940217391304348</v>
      </c>
      <c r="H106" s="38">
        <f t="shared" si="2"/>
        <v>257.307</v>
      </c>
      <c r="I106" s="37"/>
      <c r="K106" s="61" t="str">
        <f t="shared" si="1"/>
        <v>330325730733034375013301591176310159827731012628153101123584310124048033013493433101147875310114787533021666663101262815310110000000000000000000000000</v>
      </c>
      <c r="L106" s="61" t="s">
        <v>55</v>
      </c>
    </row>
    <row r="107" spans="3:12" s="56" customFormat="1" ht="12">
      <c r="C107" s="31"/>
      <c r="D107" s="31"/>
      <c r="F107" s="329">
        <v>26</v>
      </c>
      <c r="G107" s="311">
        <f t="shared" si="3"/>
        <v>30.010869565217394</v>
      </c>
      <c r="H107" s="38">
        <f t="shared" si="2"/>
        <v>257.307</v>
      </c>
      <c r="I107" s="37"/>
      <c r="K107" s="61" t="str">
        <f t="shared" si="1"/>
        <v>330325730733034375013301591176310159827731012628153101123584310124048033013493433101147875310114787533021666663101262815310110000000000000000000000000</v>
      </c>
      <c r="L107" s="61" t="s">
        <v>55</v>
      </c>
    </row>
    <row r="108" spans="3:12" s="56" customFormat="1" ht="12">
      <c r="C108" s="31"/>
      <c r="D108" s="31"/>
      <c r="F108" s="329">
        <v>27</v>
      </c>
      <c r="G108" s="311">
        <f t="shared" si="3"/>
        <v>31.081521739130437</v>
      </c>
      <c r="H108" s="38">
        <f t="shared" si="2"/>
        <v>257.307</v>
      </c>
      <c r="I108" s="37"/>
      <c r="K108" s="61" t="str">
        <f t="shared" si="1"/>
        <v>330325730733034375013301591176310159827731012628153101123584310124048033013493433101147875310114787533021666663101262815310110000000000000000000000000</v>
      </c>
      <c r="L108" s="61" t="s">
        <v>55</v>
      </c>
    </row>
    <row r="109" spans="1:12" s="56" customFormat="1" ht="12">
      <c r="A109" s="58" t="s">
        <v>668</v>
      </c>
      <c r="C109" s="31"/>
      <c r="D109" s="31"/>
      <c r="F109" s="329">
        <v>28</v>
      </c>
      <c r="G109" s="311">
        <f t="shared" si="3"/>
        <v>32.15217391304348</v>
      </c>
      <c r="H109" s="38">
        <f t="shared" si="2"/>
        <v>257.307</v>
      </c>
      <c r="I109" s="37"/>
      <c r="K109" s="61" t="str">
        <f t="shared" si="1"/>
        <v>330325730733034375013301591176310159827731012628153101123584310124048033013493433101147875310114787533021666663101262815310110000000000000000000000000</v>
      </c>
      <c r="L109" s="61" t="s">
        <v>55</v>
      </c>
    </row>
    <row r="110" spans="1:12" s="56" customFormat="1" ht="13.5">
      <c r="A110" s="30" t="s">
        <v>461</v>
      </c>
      <c r="B110" s="382">
        <f>macf(M105,1)</f>
        <v>257.307</v>
      </c>
      <c r="C110" s="31" t="s">
        <v>12</v>
      </c>
      <c r="D110" s="66" t="s">
        <v>424</v>
      </c>
      <c r="F110" s="329">
        <v>29</v>
      </c>
      <c r="G110" s="311">
        <f t="shared" si="3"/>
        <v>33.22282608695652</v>
      </c>
      <c r="H110" s="38">
        <f t="shared" si="2"/>
        <v>257.307</v>
      </c>
      <c r="I110" s="37"/>
      <c r="K110" s="61" t="str">
        <f t="shared" si="1"/>
        <v>330325730733034375013301591176310159827731012628153101123584310124048033013493433101147875310114787533021666663101262815310110000000000000000000000000</v>
      </c>
      <c r="L110" s="61" t="s">
        <v>55</v>
      </c>
    </row>
    <row r="111" spans="1:12" s="56" customFormat="1" ht="12">
      <c r="A111" s="30" t="s">
        <v>26</v>
      </c>
      <c r="B111" s="104">
        <f>macf(M105,4)</f>
        <v>0.16714665614757043</v>
      </c>
      <c r="C111" s="31" t="s">
        <v>11</v>
      </c>
      <c r="D111" s="66" t="s">
        <v>546</v>
      </c>
      <c r="F111" s="329">
        <v>30</v>
      </c>
      <c r="G111" s="311">
        <f t="shared" si="3"/>
        <v>34.29347826086956</v>
      </c>
      <c r="H111" s="38">
        <f t="shared" si="2"/>
        <v>257.307</v>
      </c>
      <c r="I111" s="37"/>
      <c r="K111" s="61" t="str">
        <f t="shared" si="1"/>
        <v>330325730733034375013301591176310159827731012628153101123584310124048033013493433101147875310114787533021666663101262815310110000000000000000000000000</v>
      </c>
      <c r="L111" s="61" t="s">
        <v>55</v>
      </c>
    </row>
    <row r="112" spans="1:12" s="56" customFormat="1" ht="13.5">
      <c r="A112" s="78" t="s">
        <v>22</v>
      </c>
      <c r="B112" s="63">
        <f>macf(M105,8)</f>
        <v>3.4934300000000005</v>
      </c>
      <c r="C112" s="101" t="s">
        <v>9</v>
      </c>
      <c r="D112" s="381" t="s">
        <v>425</v>
      </c>
      <c r="F112" s="329">
        <v>31</v>
      </c>
      <c r="G112" s="311">
        <f t="shared" si="3"/>
        <v>35.36413043478261</v>
      </c>
      <c r="H112" s="38">
        <f t="shared" si="2"/>
        <v>257.307</v>
      </c>
      <c r="I112" s="37"/>
      <c r="K112" s="61" t="str">
        <f t="shared" si="1"/>
        <v>330325730733034375013301591176310159827731012628153101123584310124048033013493433101147875310114787533021666663101262815310110000000000000000000000000</v>
      </c>
      <c r="L112" s="61" t="s">
        <v>55</v>
      </c>
    </row>
    <row r="113" spans="1:12" s="56" customFormat="1" ht="13.5">
      <c r="A113" s="78" t="s">
        <v>5</v>
      </c>
      <c r="B113" s="63">
        <f>macf(M105,3)</f>
        <v>5.91176</v>
      </c>
      <c r="C113" s="101" t="s">
        <v>9</v>
      </c>
      <c r="D113" s="66" t="s">
        <v>547</v>
      </c>
      <c r="F113" s="329">
        <v>32</v>
      </c>
      <c r="G113" s="311">
        <f t="shared" si="3"/>
        <v>36.43478260869565</v>
      </c>
      <c r="H113" s="38">
        <f t="shared" si="2"/>
        <v>257.307</v>
      </c>
      <c r="I113" s="37"/>
      <c r="K113" s="61" t="str">
        <f t="shared" si="1"/>
        <v>330325730733034375013301591176310159827731012628153101123584310124048033013493433101147875310114787533021666663101262815310110000000000000000000000000</v>
      </c>
      <c r="L113" s="61" t="s">
        <v>55</v>
      </c>
    </row>
    <row r="114" spans="1:12" s="56" customFormat="1" ht="13.5">
      <c r="A114" s="78" t="s">
        <v>38</v>
      </c>
      <c r="B114" s="63">
        <f>macf(M105,11)</f>
        <v>16.666600000000003</v>
      </c>
      <c r="C114" s="31" t="s">
        <v>10</v>
      </c>
      <c r="D114" s="66" t="s">
        <v>412</v>
      </c>
      <c r="F114" s="329">
        <v>33</v>
      </c>
      <c r="G114" s="311">
        <f t="shared" si="3"/>
        <v>37.505434782608695</v>
      </c>
      <c r="H114" s="38">
        <f t="shared" si="2"/>
        <v>257.307</v>
      </c>
      <c r="I114" s="37"/>
      <c r="K114" s="61" t="str">
        <f t="shared" si="1"/>
        <v>330325730733034375013301591176310159827731012628153101123584310124048033013493433101147875310114787533021666663101262815310110000000000000000000000000</v>
      </c>
      <c r="L114" s="61" t="s">
        <v>55</v>
      </c>
    </row>
    <row r="115" spans="1:12" s="56" customFormat="1" ht="13.5">
      <c r="A115" s="78" t="s">
        <v>23</v>
      </c>
      <c r="B115" s="65">
        <f>macf(M105,2)</f>
        <v>437.50100000000003</v>
      </c>
      <c r="C115" s="31" t="s">
        <v>10</v>
      </c>
      <c r="D115" s="66" t="s">
        <v>383</v>
      </c>
      <c r="F115" s="329">
        <v>34</v>
      </c>
      <c r="G115" s="311">
        <f t="shared" si="3"/>
        <v>38.57608695652174</v>
      </c>
      <c r="H115" s="38">
        <f t="shared" si="2"/>
        <v>257.307</v>
      </c>
      <c r="I115" s="37"/>
      <c r="K115" s="61" t="str">
        <f t="shared" si="1"/>
        <v>330325730733034375013301591176310159827731012628153101123584310124048033013493433101147875310114787533021666663101262815310110000000000000000000000000</v>
      </c>
      <c r="L115" s="61" t="s">
        <v>55</v>
      </c>
    </row>
    <row r="116" spans="6:12" s="56" customFormat="1" ht="12">
      <c r="F116" s="329">
        <v>35</v>
      </c>
      <c r="G116" s="311">
        <f t="shared" si="3"/>
        <v>39.64673913043478</v>
      </c>
      <c r="H116" s="38">
        <f t="shared" si="2"/>
        <v>257.307</v>
      </c>
      <c r="I116" s="37"/>
      <c r="K116" s="61" t="str">
        <f t="shared" si="1"/>
        <v>330325730733034375013301591176310159827731012628153101123584310124048033013493433101147875310114787533021666663101262815310110000000000000000000000000</v>
      </c>
      <c r="L116" s="61" t="s">
        <v>55</v>
      </c>
    </row>
    <row r="117" spans="4:12" s="56" customFormat="1" ht="12">
      <c r="D117" s="31"/>
      <c r="F117" s="329">
        <v>36</v>
      </c>
      <c r="G117" s="311">
        <f t="shared" si="3"/>
        <v>40.71739130434783</v>
      </c>
      <c r="H117" s="38">
        <f t="shared" si="2"/>
        <v>257.307</v>
      </c>
      <c r="I117" s="37"/>
      <c r="K117" s="61" t="str">
        <f t="shared" si="1"/>
        <v>330325730733034375013301591176310159827731012628153101123584310124048033013493433101147875310114787533021666663101262815310110000000000000000000000000</v>
      </c>
      <c r="L117" s="61" t="s">
        <v>55</v>
      </c>
    </row>
    <row r="118" spans="3:12" s="56" customFormat="1" ht="12">
      <c r="C118" s="31"/>
      <c r="D118" s="31"/>
      <c r="F118" s="329">
        <v>37</v>
      </c>
      <c r="G118" s="311">
        <f t="shared" si="3"/>
        <v>41.78804347826087</v>
      </c>
      <c r="H118" s="38">
        <f t="shared" si="2"/>
        <v>257.307</v>
      </c>
      <c r="I118" s="37"/>
      <c r="K118" s="61" t="str">
        <f t="shared" si="1"/>
        <v>330325730733034375013301591176310159827731012628153101123584310124048033013493433101147875310114787533021666663101262815310110000000000000000000000000</v>
      </c>
      <c r="L118" s="61" t="s">
        <v>55</v>
      </c>
    </row>
    <row r="119" spans="3:12" s="56" customFormat="1" ht="12">
      <c r="C119" s="31"/>
      <c r="D119" s="31"/>
      <c r="F119" s="329">
        <v>38</v>
      </c>
      <c r="G119" s="311">
        <f t="shared" si="3"/>
        <v>42.858695652173914</v>
      </c>
      <c r="H119" s="38">
        <f t="shared" si="2"/>
        <v>257.307</v>
      </c>
      <c r="I119" s="37"/>
      <c r="K119" s="61" t="str">
        <f t="shared" si="1"/>
        <v>330325730733034375013301591176310159827731012628153101123584310124048033013493433101147875310114787533021666663101262815310110000000000000000000000000</v>
      </c>
      <c r="L119" s="61" t="s">
        <v>55</v>
      </c>
    </row>
    <row r="120" spans="3:12" s="56" customFormat="1" ht="12">
      <c r="C120" s="31"/>
      <c r="D120" s="31"/>
      <c r="F120" s="329">
        <v>39</v>
      </c>
      <c r="G120" s="311">
        <f t="shared" si="3"/>
        <v>43.92934782608696</v>
      </c>
      <c r="H120" s="38">
        <f t="shared" si="2"/>
        <v>257.307</v>
      </c>
      <c r="I120" s="37"/>
      <c r="K120" s="61" t="str">
        <f t="shared" si="1"/>
        <v>330325730733034375013301591176310159827731012628153101123584310124048033013493433101147875310114787533021666663101262815310110000000000000000000000000</v>
      </c>
      <c r="L120" s="61" t="s">
        <v>55</v>
      </c>
    </row>
    <row r="121" spans="3:12" s="56" customFormat="1" ht="12">
      <c r="C121" s="31"/>
      <c r="D121" s="31"/>
      <c r="F121" s="329">
        <v>40</v>
      </c>
      <c r="G121" s="311">
        <f t="shared" si="3"/>
        <v>45</v>
      </c>
      <c r="H121" s="38">
        <f t="shared" si="2"/>
        <v>257.307</v>
      </c>
      <c r="I121" s="37"/>
      <c r="K121" s="61" t="str">
        <f t="shared" si="1"/>
        <v>330325730733034375013301591176310159827731012628153101123584310124048033013493433101147875310114787533021666663101262815310110000000000000000000000000</v>
      </c>
      <c r="L121" s="61" t="s">
        <v>55</v>
      </c>
    </row>
    <row r="122" spans="3:12" s="56" customFormat="1" ht="12">
      <c r="C122" s="31"/>
      <c r="D122" s="31"/>
      <c r="F122" s="329"/>
      <c r="G122" s="311"/>
      <c r="H122" s="38"/>
      <c r="I122" s="37"/>
      <c r="K122" s="61"/>
      <c r="L122" s="61"/>
    </row>
    <row r="123" spans="3:10" s="56" customFormat="1" ht="12">
      <c r="C123" s="31"/>
      <c r="D123" s="31"/>
      <c r="F123" s="30"/>
      <c r="G123" s="71">
        <f>G124</f>
        <v>2.1739130434782608</v>
      </c>
      <c r="H123" s="38"/>
      <c r="I123" s="37">
        <v>0</v>
      </c>
      <c r="J123" s="31"/>
    </row>
    <row r="124" spans="3:10" s="56" customFormat="1" ht="12">
      <c r="C124" s="31"/>
      <c r="D124" s="4"/>
      <c r="F124" s="30"/>
      <c r="G124" s="71">
        <f>G81</f>
        <v>2.1739130434782608</v>
      </c>
      <c r="H124" s="35"/>
      <c r="I124" s="72">
        <f>H81</f>
        <v>250.409</v>
      </c>
      <c r="J124" s="31"/>
    </row>
    <row r="125" spans="3:10" s="56" customFormat="1" ht="12">
      <c r="C125" s="31"/>
      <c r="D125" s="31"/>
      <c r="F125" s="30"/>
      <c r="G125" s="71">
        <v>0</v>
      </c>
      <c r="H125" s="35"/>
      <c r="I125" s="72">
        <f>I124</f>
        <v>250.409</v>
      </c>
      <c r="J125" s="31"/>
    </row>
    <row r="126" spans="3:10" s="56" customFormat="1" ht="12">
      <c r="C126" s="31"/>
      <c r="D126" s="31"/>
      <c r="F126" s="30"/>
      <c r="G126" s="71"/>
      <c r="H126" s="35"/>
      <c r="I126" s="72"/>
      <c r="J126" s="31"/>
    </row>
    <row r="127" spans="3:10" s="56" customFormat="1" ht="12">
      <c r="C127" s="31"/>
      <c r="D127" s="31"/>
      <c r="F127" s="30"/>
      <c r="G127" s="71">
        <v>0</v>
      </c>
      <c r="H127" s="35"/>
      <c r="I127" s="72">
        <f>H121</f>
        <v>257.307</v>
      </c>
      <c r="J127" s="31"/>
    </row>
    <row r="128" spans="3:10" s="56" customFormat="1" ht="12">
      <c r="C128" s="31"/>
      <c r="D128" s="31"/>
      <c r="F128" s="30"/>
      <c r="G128" s="71">
        <f>G121</f>
        <v>45</v>
      </c>
      <c r="H128" s="35"/>
      <c r="I128" s="72">
        <f>I127</f>
        <v>257.307</v>
      </c>
      <c r="J128" s="31"/>
    </row>
    <row r="129" spans="3:10" s="56" customFormat="1" ht="12">
      <c r="C129" s="31"/>
      <c r="D129" s="31"/>
      <c r="F129" s="30"/>
      <c r="G129" s="71"/>
      <c r="H129" s="35"/>
      <c r="I129" s="72"/>
      <c r="J129" s="31"/>
    </row>
    <row r="130" spans="3:10" s="56" customFormat="1" ht="12">
      <c r="C130" s="31"/>
      <c r="D130" s="31"/>
      <c r="F130" s="30"/>
      <c r="G130" s="311">
        <f>B113</f>
        <v>5.91176</v>
      </c>
      <c r="H130" s="35"/>
      <c r="I130" s="72">
        <v>0</v>
      </c>
      <c r="J130" s="31"/>
    </row>
    <row r="131" spans="3:10" s="56" customFormat="1" ht="12">
      <c r="C131" s="31"/>
      <c r="D131" s="31"/>
      <c r="F131" s="30"/>
      <c r="G131" s="383">
        <f>G130</f>
        <v>5.91176</v>
      </c>
      <c r="H131" s="73"/>
      <c r="I131" s="74">
        <f>B110</f>
        <v>257.307</v>
      </c>
      <c r="J131" s="31"/>
    </row>
    <row r="132" spans="3:10" s="56" customFormat="1" ht="12">
      <c r="C132" s="31"/>
      <c r="D132" s="31"/>
      <c r="F132" s="30"/>
      <c r="G132" s="57"/>
      <c r="H132" s="60"/>
      <c r="I132" s="31"/>
      <c r="J132" s="31"/>
    </row>
    <row r="133" spans="1:29" s="56" customFormat="1" ht="12.75" thickBot="1">
      <c r="A133" s="52"/>
      <c r="B133" s="52"/>
      <c r="C133" s="53"/>
      <c r="D133" s="53"/>
      <c r="E133" s="52"/>
      <c r="F133" s="54"/>
      <c r="G133" s="55"/>
      <c r="H133" s="53"/>
      <c r="I133" s="52"/>
      <c r="J133" s="52"/>
      <c r="K133" s="52"/>
      <c r="L133" s="52"/>
      <c r="M133" s="52"/>
      <c r="N133" s="52"/>
      <c r="O133" s="52"/>
      <c r="Q133" s="363" t="s">
        <v>363</v>
      </c>
      <c r="U133" s="31" t="s">
        <v>513</v>
      </c>
      <c r="AC133" s="363" t="s">
        <v>528</v>
      </c>
    </row>
    <row r="134" spans="1:30" s="56" customFormat="1" ht="15" thickBot="1" thickTop="1">
      <c r="A134" s="58" t="s">
        <v>562</v>
      </c>
      <c r="C134" s="31"/>
      <c r="D134" s="31"/>
      <c r="F134" s="30"/>
      <c r="G134" s="57"/>
      <c r="H134" s="60"/>
      <c r="I134" s="31"/>
      <c r="J134" s="31"/>
      <c r="P134" s="78" t="s">
        <v>22</v>
      </c>
      <c r="Q134" s="302">
        <f>F138</f>
        <v>0.771509690161708</v>
      </c>
      <c r="R134" s="4" t="s">
        <v>9</v>
      </c>
      <c r="U134" s="31" t="s">
        <v>514</v>
      </c>
      <c r="AB134" s="2" t="s">
        <v>517</v>
      </c>
      <c r="AC134" s="89">
        <v>2</v>
      </c>
      <c r="AD134" s="4" t="s">
        <v>9</v>
      </c>
    </row>
    <row r="135" spans="1:31" ht="14.25" thickTop="1">
      <c r="A135" s="31" t="s">
        <v>399</v>
      </c>
      <c r="B135" s="56"/>
      <c r="C135" s="31"/>
      <c r="D135" s="31"/>
      <c r="E135" s="56"/>
      <c r="F135" s="56"/>
      <c r="G135" s="56"/>
      <c r="H135" s="56"/>
      <c r="J135" s="56"/>
      <c r="K135" s="263" t="s">
        <v>398</v>
      </c>
      <c r="L135" s="5" t="str">
        <f>"= "&amp;ROUND(F138*10000,0)/10000&amp;" ‰"</f>
        <v>= 0,7715 ‰</v>
      </c>
      <c r="M135" s="56"/>
      <c r="N135" s="56"/>
      <c r="O135" s="56"/>
      <c r="P135" s="3" t="s">
        <v>25</v>
      </c>
      <c r="Q135" s="63">
        <f>F138/L138</f>
        <v>0.36738556674367046</v>
      </c>
      <c r="R135" s="337" t="s">
        <v>468</v>
      </c>
      <c r="U135" s="31" t="s">
        <v>515</v>
      </c>
      <c r="AB135" s="2" t="s">
        <v>14</v>
      </c>
      <c r="AC135" s="302">
        <f>F139</f>
        <v>25</v>
      </c>
      <c r="AD135"/>
      <c r="AE135" s="56"/>
    </row>
    <row r="136" spans="1:33" ht="13.5">
      <c r="A136" s="56"/>
      <c r="B136" s="56"/>
      <c r="C136" s="31"/>
      <c r="D136" s="31"/>
      <c r="E136" s="56"/>
      <c r="F136" s="304" t="s">
        <v>491</v>
      </c>
      <c r="G136" s="300"/>
      <c r="H136" s="56"/>
      <c r="J136" s="56"/>
      <c r="K136" s="1" t="s">
        <v>365</v>
      </c>
      <c r="L136" s="1" t="s">
        <v>363</v>
      </c>
      <c r="M136" s="56"/>
      <c r="N136" s="56"/>
      <c r="O136" s="56"/>
      <c r="P136" s="2" t="s">
        <v>7</v>
      </c>
      <c r="Q136" s="296">
        <f>F142</f>
        <v>3.4177500000000007</v>
      </c>
      <c r="R136" s="75" t="s">
        <v>397</v>
      </c>
      <c r="V136" s="1" t="s">
        <v>7</v>
      </c>
      <c r="W136" s="416" t="s">
        <v>22</v>
      </c>
      <c r="X136" s="416" t="s">
        <v>38</v>
      </c>
      <c r="Y136" s="1" t="s">
        <v>633</v>
      </c>
      <c r="Z136" s="1" t="s">
        <v>637</v>
      </c>
      <c r="AB136" s="78" t="s">
        <v>230</v>
      </c>
      <c r="AC136" s="104">
        <f>F140</f>
        <v>1.5</v>
      </c>
      <c r="AD136"/>
      <c r="AF136"/>
      <c r="AG136"/>
    </row>
    <row r="137" spans="1:33" ht="15.75" thickBot="1">
      <c r="A137" s="56"/>
      <c r="B137" s="56"/>
      <c r="C137" s="31"/>
      <c r="D137" s="31"/>
      <c r="F137" s="304" t="s">
        <v>492</v>
      </c>
      <c r="J137" s="78" t="s">
        <v>395</v>
      </c>
      <c r="K137" s="302">
        <f>VLOOKUP(F139,tabfck,6)</f>
        <v>3.5</v>
      </c>
      <c r="L137" s="302">
        <f>VLOOKUP(F139,tabfck,4)</f>
        <v>3.5</v>
      </c>
      <c r="M137" s="4" t="s">
        <v>9</v>
      </c>
      <c r="N137" s="56"/>
      <c r="O137" s="56"/>
      <c r="P137" s="2" t="s">
        <v>324</v>
      </c>
      <c r="Q137" s="296">
        <f>Q136-2</f>
        <v>1.4177500000000007</v>
      </c>
      <c r="R137" s="337" t="s">
        <v>469</v>
      </c>
      <c r="U137" s="145">
        <v>0</v>
      </c>
      <c r="V137" s="6">
        <v>1</v>
      </c>
      <c r="W137" s="6">
        <f aca="true" t="shared" si="4" ref="W137:W145">(8-U137)/8*F$138</f>
        <v>0.771509690161708</v>
      </c>
      <c r="X137" s="417">
        <f aca="true" t="shared" si="5" ref="X137:X145">sic(W137,F$141,K$138)</f>
        <v>10.378381494305907</v>
      </c>
      <c r="Y137" s="6">
        <f>X137*V137/24</f>
        <v>0.4324325622627461</v>
      </c>
      <c r="Z137" s="6">
        <f>Y137*U137/8</f>
        <v>0</v>
      </c>
      <c r="AB137" s="2" t="s">
        <v>1</v>
      </c>
      <c r="AC137" s="326">
        <f>AC135/AC136</f>
        <v>16.666666666666668</v>
      </c>
      <c r="AD137" s="31" t="s">
        <v>10</v>
      </c>
      <c r="AE137"/>
      <c r="AF137"/>
      <c r="AG137"/>
    </row>
    <row r="138" spans="1:33" ht="14.25" thickTop="1">
      <c r="A138" s="31"/>
      <c r="B138" s="56"/>
      <c r="C138" s="31"/>
      <c r="D138" s="31"/>
      <c r="E138" s="78" t="s">
        <v>22</v>
      </c>
      <c r="F138" s="483">
        <v>0.771509690161708</v>
      </c>
      <c r="G138" s="4" t="s">
        <v>9</v>
      </c>
      <c r="H138" s="56"/>
      <c r="I138" s="56"/>
      <c r="J138" s="78" t="s">
        <v>396</v>
      </c>
      <c r="K138" s="7">
        <f>VLOOKUP(F139,tabfck,7)</f>
        <v>2</v>
      </c>
      <c r="L138" s="7">
        <f>VLOOKUP(F139,tabfck,5)</f>
        <v>2.1</v>
      </c>
      <c r="M138" s="4" t="s">
        <v>9</v>
      </c>
      <c r="N138" s="56"/>
      <c r="O138" s="56"/>
      <c r="P138" s="2" t="s">
        <v>467</v>
      </c>
      <c r="Q138" s="296">
        <f>Q137*Q135</f>
        <v>0.520860887250839</v>
      </c>
      <c r="R138" s="337" t="s">
        <v>470</v>
      </c>
      <c r="U138" s="145">
        <v>1</v>
      </c>
      <c r="V138" s="7">
        <v>4</v>
      </c>
      <c r="W138" s="7">
        <f t="shared" si="4"/>
        <v>0.6750709788914945</v>
      </c>
      <c r="X138" s="8">
        <f t="shared" si="5"/>
        <v>9.35234620426857</v>
      </c>
      <c r="Y138" s="7">
        <f aca="true" t="shared" si="6" ref="Y138:Y145">X138*V138/24</f>
        <v>1.558724367378095</v>
      </c>
      <c r="Z138" s="7">
        <f aca="true" t="shared" si="7" ref="Z138:Z145">Y138*U138/8</f>
        <v>0.19484054592226188</v>
      </c>
      <c r="AB138" s="301" t="s">
        <v>2</v>
      </c>
      <c r="AC138" s="7">
        <f>VLOOKUP(AC135,tabfck,3)</f>
        <v>31</v>
      </c>
      <c r="AD138" s="5" t="s">
        <v>516</v>
      </c>
      <c r="AE138"/>
      <c r="AF138"/>
      <c r="AG138"/>
    </row>
    <row r="139" spans="1:33" ht="13.5">
      <c r="A139" s="31"/>
      <c r="B139" s="56"/>
      <c r="C139" s="31"/>
      <c r="D139" s="31"/>
      <c r="E139" s="301" t="s">
        <v>14</v>
      </c>
      <c r="F139" s="484">
        <v>25</v>
      </c>
      <c r="G139" s="31" t="s">
        <v>407</v>
      </c>
      <c r="H139" s="56"/>
      <c r="I139" s="56"/>
      <c r="J139" s="30" t="s">
        <v>17</v>
      </c>
      <c r="K139" s="303">
        <f>frgn(F138,K138,F143,1)</f>
        <v>0.3361525782464027</v>
      </c>
      <c r="L139" s="335">
        <f>fKa(F138,L138,F142,1)</f>
        <v>0.4376234836799977</v>
      </c>
      <c r="M139" s="5" t="s">
        <v>465</v>
      </c>
      <c r="N139" s="56"/>
      <c r="O139" s="56"/>
      <c r="P139" s="2" t="s">
        <v>207</v>
      </c>
      <c r="Q139" s="296">
        <f>LN(1+Q138)</f>
        <v>0.4192765477207649</v>
      </c>
      <c r="R139" s="337" t="s">
        <v>471</v>
      </c>
      <c r="U139" s="145">
        <v>2</v>
      </c>
      <c r="V139" s="7">
        <v>2</v>
      </c>
      <c r="W139" s="7">
        <f t="shared" si="4"/>
        <v>0.578632267621281</v>
      </c>
      <c r="X139" s="8">
        <f t="shared" si="5"/>
        <v>8.248807372302409</v>
      </c>
      <c r="Y139" s="7">
        <f t="shared" si="6"/>
        <v>0.6874006143585341</v>
      </c>
      <c r="Z139" s="7">
        <f t="shared" si="7"/>
        <v>0.17185015358963351</v>
      </c>
      <c r="AB139" s="3" t="s">
        <v>359</v>
      </c>
      <c r="AC139" s="104">
        <f>VLOOKUP(AC135,tabfck,5)</f>
        <v>2.1</v>
      </c>
      <c r="AD139" s="4" t="s">
        <v>9</v>
      </c>
      <c r="AE139"/>
      <c r="AF139"/>
      <c r="AG139"/>
    </row>
    <row r="140" spans="1:33" ht="14.25" thickBot="1">
      <c r="A140" s="77"/>
      <c r="C140" s="1"/>
      <c r="D140" s="1"/>
      <c r="E140" s="78" t="s">
        <v>230</v>
      </c>
      <c r="F140" s="486">
        <v>1.5</v>
      </c>
      <c r="G140" s="31"/>
      <c r="H140" s="56"/>
      <c r="J140" s="2" t="s">
        <v>18</v>
      </c>
      <c r="K140" s="79">
        <f>frgn(F138,K138,F143,2)</f>
        <v>0.34562989895174245</v>
      </c>
      <c r="L140" s="336">
        <f>fKa(F138,L138,F142,2)</f>
        <v>0.36298499828436886</v>
      </c>
      <c r="M140" s="5" t="s">
        <v>466</v>
      </c>
      <c r="N140" s="56"/>
      <c r="P140" s="2" t="s">
        <v>479</v>
      </c>
      <c r="Q140" s="296">
        <f>1/Q137^2*(Q138-Q139)</f>
        <v>0.050539093674117186</v>
      </c>
      <c r="R140" s="337" t="s">
        <v>472</v>
      </c>
      <c r="U140" s="145">
        <v>3</v>
      </c>
      <c r="V140" s="7">
        <v>4</v>
      </c>
      <c r="W140" s="7">
        <f t="shared" si="4"/>
        <v>0.48219355635106753</v>
      </c>
      <c r="X140" s="8">
        <f t="shared" si="5"/>
        <v>7.067764998407417</v>
      </c>
      <c r="Y140" s="7">
        <f t="shared" si="6"/>
        <v>1.1779608330679028</v>
      </c>
      <c r="Z140" s="7">
        <f t="shared" si="7"/>
        <v>0.44173531240046354</v>
      </c>
      <c r="AB140" s="3" t="s">
        <v>361</v>
      </c>
      <c r="AC140" s="104">
        <f>VLOOKUP(AC135,tabfck,4)</f>
        <v>3.5</v>
      </c>
      <c r="AD140" s="4" t="s">
        <v>9</v>
      </c>
      <c r="AE140"/>
      <c r="AF140"/>
      <c r="AG140"/>
    </row>
    <row r="141" spans="1:40" ht="14.25" thickTop="1">
      <c r="A141" s="31"/>
      <c r="E141" s="301" t="s">
        <v>1</v>
      </c>
      <c r="F141" s="274">
        <f>F139/F140</f>
        <v>16.666666666666668</v>
      </c>
      <c r="G141" s="31" t="s">
        <v>10</v>
      </c>
      <c r="P141" s="2" t="s">
        <v>480</v>
      </c>
      <c r="Q141" s="296">
        <f>1/Q137^3*(Q138^2/2-Q138+Q139)</f>
        <v>0.011953435832598681</v>
      </c>
      <c r="R141" s="337" t="s">
        <v>473</v>
      </c>
      <c r="U141" s="145">
        <v>4</v>
      </c>
      <c r="V141" s="7">
        <v>2</v>
      </c>
      <c r="W141" s="7">
        <f t="shared" si="4"/>
        <v>0.385754845080854</v>
      </c>
      <c r="X141" s="8">
        <f t="shared" si="5"/>
        <v>5.809219082583595</v>
      </c>
      <c r="Y141" s="7">
        <f t="shared" si="6"/>
        <v>0.4841015902152996</v>
      </c>
      <c r="Z141" s="7">
        <f t="shared" si="7"/>
        <v>0.2420507951076498</v>
      </c>
      <c r="AB141" s="301" t="s">
        <v>7</v>
      </c>
      <c r="AC141" s="64">
        <f>1.05*AC138/1.2*AC139/AC137</f>
        <v>3.4177500000000007</v>
      </c>
      <c r="AD141" s="75" t="s">
        <v>397</v>
      </c>
      <c r="AE141"/>
      <c r="AF141"/>
      <c r="AG141"/>
      <c r="AK141"/>
      <c r="AL141"/>
      <c r="AM141"/>
      <c r="AN141"/>
    </row>
    <row r="142" spans="5:40" ht="13.5">
      <c r="E142" s="301" t="s">
        <v>362</v>
      </c>
      <c r="F142" s="64">
        <f>1.05*VLOOKUP(F139,tabfck,3)/1.2*L138/F141</f>
        <v>3.4177500000000007</v>
      </c>
      <c r="G142" s="75" t="s">
        <v>397</v>
      </c>
      <c r="J142" s="56"/>
      <c r="K142" s="29" t="s">
        <v>631</v>
      </c>
      <c r="M142" s="56"/>
      <c r="P142" s="2" t="s">
        <v>481</v>
      </c>
      <c r="Q142" s="296">
        <f>1/Q137^4*(Q138^3/3-Q138^2/2+Q138-Q139)</f>
        <v>0.003227300072529141</v>
      </c>
      <c r="R142" s="337" t="s">
        <v>474</v>
      </c>
      <c r="U142" s="145">
        <v>5</v>
      </c>
      <c r="V142" s="418">
        <v>4</v>
      </c>
      <c r="W142" s="7">
        <f t="shared" si="4"/>
        <v>0.2893161338106405</v>
      </c>
      <c r="X142" s="8">
        <f t="shared" si="5"/>
        <v>4.47316962483094</v>
      </c>
      <c r="Y142" s="7">
        <f t="shared" si="6"/>
        <v>0.7455282708051567</v>
      </c>
      <c r="Z142" s="7">
        <f t="shared" si="7"/>
        <v>0.46595516925322294</v>
      </c>
      <c r="AB142" s="3" t="s">
        <v>19</v>
      </c>
      <c r="AC142" s="104">
        <f>VLOOKUP(AC135,tabfck,7)</f>
        <v>2</v>
      </c>
      <c r="AF142"/>
      <c r="AG142"/>
      <c r="AK142"/>
      <c r="AL142"/>
      <c r="AM142"/>
      <c r="AN142"/>
    </row>
    <row r="143" spans="5:40" ht="13.5">
      <c r="E143" s="2" t="s">
        <v>31</v>
      </c>
      <c r="F143" s="10">
        <f>VLOOKUP(F139,tabfck,8)</f>
        <v>2</v>
      </c>
      <c r="G143" s="91" t="s">
        <v>406</v>
      </c>
      <c r="J143" s="30" t="s">
        <v>17</v>
      </c>
      <c r="K143" s="306">
        <f>frgn(K137,K138,F143,1)</f>
        <v>0.8095238095238095</v>
      </c>
      <c r="L143" s="367">
        <f>fKa(L137,L$138,F142,1)</f>
        <v>0.8277266471050504</v>
      </c>
      <c r="M143" s="396" t="s">
        <v>497</v>
      </c>
      <c r="P143" s="2" t="s">
        <v>482</v>
      </c>
      <c r="Q143" s="296">
        <f>Q136*Q140-Q141</f>
        <v>0.16077655157211537</v>
      </c>
      <c r="R143" s="337" t="s">
        <v>475</v>
      </c>
      <c r="U143" s="145">
        <v>6</v>
      </c>
      <c r="V143" s="418">
        <v>2</v>
      </c>
      <c r="W143" s="7">
        <f t="shared" si="4"/>
        <v>0.192877422540427</v>
      </c>
      <c r="X143" s="8">
        <f t="shared" si="5"/>
        <v>3.0596166251494585</v>
      </c>
      <c r="Y143" s="7">
        <f t="shared" si="6"/>
        <v>0.2549680520957882</v>
      </c>
      <c r="Z143" s="7">
        <f t="shared" si="7"/>
        <v>0.19122603907184116</v>
      </c>
      <c r="AB143" s="3" t="s">
        <v>20</v>
      </c>
      <c r="AC143" s="104">
        <f>VLOOKUP(AC135,tabfck,6)</f>
        <v>3.5</v>
      </c>
      <c r="AD143" s="4" t="s">
        <v>9</v>
      </c>
      <c r="AE143"/>
      <c r="AF143"/>
      <c r="AG143"/>
      <c r="AK143"/>
      <c r="AL143"/>
      <c r="AM143"/>
      <c r="AN143"/>
    </row>
    <row r="144" spans="8:40" ht="13.5">
      <c r="H144" s="1"/>
      <c r="J144" s="2" t="s">
        <v>18</v>
      </c>
      <c r="K144" s="305">
        <f>frgn(K137,K138,F143,2)</f>
        <v>0.41596638655462187</v>
      </c>
      <c r="L144" s="368">
        <f>fKa(L137,L138,F142,2)</f>
        <v>0.4404105957728371</v>
      </c>
      <c r="M144" s="334"/>
      <c r="P144" s="2" t="s">
        <v>483</v>
      </c>
      <c r="Q144" s="296">
        <f>Q136*Q141-Q142</f>
        <v>0.037626555244335017</v>
      </c>
      <c r="R144" s="337" t="s">
        <v>476</v>
      </c>
      <c r="U144" s="145">
        <v>7</v>
      </c>
      <c r="V144" s="7">
        <v>4</v>
      </c>
      <c r="W144" s="7">
        <f t="shared" si="4"/>
        <v>0.0964387112702135</v>
      </c>
      <c r="X144" s="8">
        <f t="shared" si="5"/>
        <v>1.5685600835391427</v>
      </c>
      <c r="Y144" s="7">
        <f t="shared" si="6"/>
        <v>0.26142668058985713</v>
      </c>
      <c r="Z144" s="7">
        <f t="shared" si="7"/>
        <v>0.228748345516125</v>
      </c>
      <c r="AB144" s="2" t="s">
        <v>31</v>
      </c>
      <c r="AC144" s="104">
        <f>VLOOKUP(AC135,tabfck,8)</f>
        <v>2</v>
      </c>
      <c r="AD144" s="31" t="s">
        <v>406</v>
      </c>
      <c r="AE144" s="5"/>
      <c r="AF144"/>
      <c r="AG144"/>
      <c r="AK144"/>
      <c r="AL144"/>
      <c r="AM144"/>
      <c r="AN144"/>
    </row>
    <row r="145" spans="8:40" ht="13.5">
      <c r="H145" s="1"/>
      <c r="J145" s="56"/>
      <c r="K145" s="29" t="s">
        <v>632</v>
      </c>
      <c r="L145" s="334"/>
      <c r="M145" s="334"/>
      <c r="P145" s="2" t="s">
        <v>484</v>
      </c>
      <c r="Q145" s="296">
        <f>1/Q135*Q143</f>
        <v>0.4376234836799977</v>
      </c>
      <c r="R145" s="337" t="s">
        <v>522</v>
      </c>
      <c r="U145" s="145">
        <v>8</v>
      </c>
      <c r="V145" s="10">
        <v>1</v>
      </c>
      <c r="W145" s="10">
        <f t="shared" si="4"/>
        <v>0</v>
      </c>
      <c r="X145" s="404">
        <f t="shared" si="5"/>
        <v>0</v>
      </c>
      <c r="Y145" s="10">
        <f t="shared" si="6"/>
        <v>0</v>
      </c>
      <c r="Z145" s="10">
        <f t="shared" si="7"/>
        <v>0</v>
      </c>
      <c r="AB145" s="3" t="s">
        <v>25</v>
      </c>
      <c r="AC145" s="63">
        <f>AC134/AC139</f>
        <v>0.9523809523809523</v>
      </c>
      <c r="AD145" s="337" t="s">
        <v>468</v>
      </c>
      <c r="AE145"/>
      <c r="AF145"/>
      <c r="AG145"/>
      <c r="AK145"/>
      <c r="AL145"/>
      <c r="AM145"/>
      <c r="AN145"/>
    </row>
    <row r="146" spans="8:40" ht="13.5">
      <c r="H146" s="1"/>
      <c r="J146" s="30" t="s">
        <v>17</v>
      </c>
      <c r="K146" s="306">
        <f>frgn(K138,K138,F143,1)</f>
        <v>0.6666666666666666</v>
      </c>
      <c r="L146" s="367">
        <f>fKa(L138,L138,F142,1)</f>
        <v>0.7445812686510368</v>
      </c>
      <c r="M146" s="396" t="s">
        <v>586</v>
      </c>
      <c r="P146" s="2" t="s">
        <v>485</v>
      </c>
      <c r="Q146" s="296">
        <f>Q145-1/Q135^2*Q144</f>
        <v>0.1588507594727835</v>
      </c>
      <c r="R146" s="337" t="s">
        <v>523</v>
      </c>
      <c r="X146" s="2" t="s">
        <v>635</v>
      </c>
      <c r="Y146" s="6">
        <f>SUM(Y137:Y145)</f>
        <v>5.60254297077338</v>
      </c>
      <c r="Z146" s="6">
        <f>SUM(Z137:Z145)</f>
        <v>1.9364063608611979</v>
      </c>
      <c r="AA146" s="337" t="s">
        <v>638</v>
      </c>
      <c r="AB146" s="2" t="s">
        <v>324</v>
      </c>
      <c r="AC146" s="41">
        <f>AC141-2</f>
        <v>1.4177500000000007</v>
      </c>
      <c r="AD146" s="337" t="s">
        <v>469</v>
      </c>
      <c r="AE146"/>
      <c r="AF146"/>
      <c r="AG146"/>
      <c r="AK146"/>
      <c r="AL146"/>
      <c r="AM146"/>
      <c r="AN146"/>
    </row>
    <row r="147" spans="1:40" ht="13.5">
      <c r="A147" s="77"/>
      <c r="J147" s="2" t="s">
        <v>18</v>
      </c>
      <c r="K147" s="305">
        <f>frgn(K138,K138,F143,2)</f>
        <v>0.375</v>
      </c>
      <c r="L147" s="368">
        <f>fKa(L138,L138,F142,2)</f>
        <v>0.4022902512697994</v>
      </c>
      <c r="M147" s="334"/>
      <c r="P147" s="2" t="s">
        <v>17</v>
      </c>
      <c r="Q147" s="338">
        <f>Q145</f>
        <v>0.4376234836799977</v>
      </c>
      <c r="R147" s="337" t="s">
        <v>477</v>
      </c>
      <c r="X147" s="2" t="s">
        <v>636</v>
      </c>
      <c r="Y147" s="7">
        <f>Y146/F141</f>
        <v>0.33615257824640277</v>
      </c>
      <c r="Z147" s="7">
        <f>Z146/Y147/F141</f>
        <v>0.3456298989517424</v>
      </c>
      <c r="AA147" s="337" t="s">
        <v>639</v>
      </c>
      <c r="AB147" s="2" t="s">
        <v>467</v>
      </c>
      <c r="AC147" s="296">
        <f>AC146*AC145</f>
        <v>1.350238095238096</v>
      </c>
      <c r="AD147" s="337" t="s">
        <v>470</v>
      </c>
      <c r="AE147"/>
      <c r="AF147"/>
      <c r="AG147"/>
      <c r="AK147"/>
      <c r="AL147"/>
      <c r="AM147"/>
      <c r="AN147"/>
    </row>
    <row r="148" spans="1:40" ht="13.5">
      <c r="A148" s="31"/>
      <c r="M148" s="395" t="s">
        <v>58</v>
      </c>
      <c r="P148" s="2" t="s">
        <v>18</v>
      </c>
      <c r="Q148" s="366">
        <f>Q146/Q145</f>
        <v>0.36298499828436886</v>
      </c>
      <c r="R148" s="337" t="s">
        <v>478</v>
      </c>
      <c r="X148" s="1" t="s">
        <v>634</v>
      </c>
      <c r="Y148" s="420">
        <f>Y147/K139</f>
        <v>1.0000000000000002</v>
      </c>
      <c r="Z148" s="420">
        <f>Z147/K140</f>
        <v>0.9999999999999999</v>
      </c>
      <c r="AA148" s="5"/>
      <c r="AB148" s="2" t="s">
        <v>207</v>
      </c>
      <c r="AC148" s="296">
        <f>LN(1+AC147)</f>
        <v>0.8545166401464285</v>
      </c>
      <c r="AD148" s="337" t="s">
        <v>471</v>
      </c>
      <c r="AE148"/>
      <c r="AF148"/>
      <c r="AG148"/>
      <c r="AK148"/>
      <c r="AL148"/>
      <c r="AM148"/>
      <c r="AN148"/>
    </row>
    <row r="149" spans="11:40" ht="13.5">
      <c r="K149" s="137" t="s">
        <v>533</v>
      </c>
      <c r="L149" s="344"/>
      <c r="M149" s="308" t="s">
        <v>535</v>
      </c>
      <c r="AB149" s="2" t="s">
        <v>479</v>
      </c>
      <c r="AC149" s="7">
        <f>1/AC146^2*(AC147-AC148)</f>
        <v>0.2466257414385256</v>
      </c>
      <c r="AD149" s="337" t="s">
        <v>472</v>
      </c>
      <c r="AE149"/>
      <c r="AF149"/>
      <c r="AG149"/>
      <c r="AK149"/>
      <c r="AL149"/>
      <c r="AM149"/>
      <c r="AN149"/>
    </row>
    <row r="150" spans="11:40" ht="13.5">
      <c r="K150" s="137" t="s">
        <v>534</v>
      </c>
      <c r="L150" s="344"/>
      <c r="M150" s="308" t="s">
        <v>535</v>
      </c>
      <c r="S150" s="1" t="s">
        <v>487</v>
      </c>
      <c r="W150" s="5" t="s">
        <v>488</v>
      </c>
      <c r="AB150" s="2" t="s">
        <v>480</v>
      </c>
      <c r="AC150" s="7">
        <f>1/AC146^3*(AC147^2/2-AC147+AC148)</f>
        <v>0.1459277007868095</v>
      </c>
      <c r="AD150" s="337" t="s">
        <v>473</v>
      </c>
      <c r="AE150"/>
      <c r="AF150"/>
      <c r="AG150"/>
      <c r="AK150"/>
      <c r="AL150"/>
      <c r="AM150"/>
      <c r="AN150"/>
    </row>
    <row r="151" spans="11:33" ht="13.5">
      <c r="K151" s="137" t="s">
        <v>493</v>
      </c>
      <c r="L151" s="344"/>
      <c r="M151" s="308" t="s">
        <v>536</v>
      </c>
      <c r="R151" s="11"/>
      <c r="S151" s="12" t="s">
        <v>486</v>
      </c>
      <c r="T151" s="12" t="s">
        <v>363</v>
      </c>
      <c r="U151" s="13" t="s">
        <v>206</v>
      </c>
      <c r="W151" s="11"/>
      <c r="X151" s="12" t="s">
        <v>486</v>
      </c>
      <c r="Y151" s="12" t="s">
        <v>363</v>
      </c>
      <c r="Z151" s="13" t="s">
        <v>206</v>
      </c>
      <c r="AB151" s="2" t="s">
        <v>481</v>
      </c>
      <c r="AC151" s="7">
        <f>1/AC146^4*(AC147^3/3-AC147^2/2+AC147-AC148)</f>
        <v>0.10017151499936455</v>
      </c>
      <c r="AD151" s="337" t="s">
        <v>474</v>
      </c>
      <c r="AE151"/>
      <c r="AF151"/>
      <c r="AG151"/>
    </row>
    <row r="152" spans="9:33" ht="13.5">
      <c r="I152" s="5"/>
      <c r="K152" s="137" t="s">
        <v>494</v>
      </c>
      <c r="L152" s="344"/>
      <c r="M152" s="308" t="s">
        <v>536</v>
      </c>
      <c r="Q152" s="293">
        <v>0</v>
      </c>
      <c r="R152" s="14">
        <f>Q152/4*R157</f>
        <v>0</v>
      </c>
      <c r="S152" s="15">
        <f aca="true" t="shared" si="8" ref="S152:S158">frgn(R152,$K$138,$F$143,1)</f>
        <v>0</v>
      </c>
      <c r="T152" s="15"/>
      <c r="U152" s="16"/>
      <c r="W152" s="14">
        <f>R152</f>
        <v>0</v>
      </c>
      <c r="X152" s="15">
        <f aca="true" t="shared" si="9" ref="X152:X158">frgn(R152,$K$138,$F$143,2)</f>
        <v>0.3333333333333333</v>
      </c>
      <c r="Y152" s="15"/>
      <c r="Z152" s="16"/>
      <c r="AB152" s="2" t="s">
        <v>518</v>
      </c>
      <c r="AC152" s="7">
        <f>1/AC146^5*(AC147^4/4-AC147^3/3+AC147^2/2-AC147+AC148)</f>
        <v>0.07441657816865163</v>
      </c>
      <c r="AD152" s="337" t="s">
        <v>519</v>
      </c>
      <c r="AE152"/>
      <c r="AF152"/>
      <c r="AG152"/>
    </row>
    <row r="153" spans="1:33" ht="13.5">
      <c r="A153" s="307"/>
      <c r="I153" s="5"/>
      <c r="Q153" s="293">
        <v>1</v>
      </c>
      <c r="R153" s="14">
        <f>0.25*K138</f>
        <v>0.5</v>
      </c>
      <c r="S153" s="15">
        <f t="shared" si="8"/>
        <v>0.22916666666666669</v>
      </c>
      <c r="T153" s="15"/>
      <c r="U153" s="16"/>
      <c r="W153" s="14">
        <f aca="true" t="shared" si="10" ref="W153:W169">R153</f>
        <v>0.5</v>
      </c>
      <c r="X153" s="15">
        <f t="shared" si="9"/>
        <v>0.34090909090909083</v>
      </c>
      <c r="Y153" s="15"/>
      <c r="Z153" s="16"/>
      <c r="AB153" s="2" t="s">
        <v>482</v>
      </c>
      <c r="AC153" s="7">
        <f>AC141*AC149-AC150</f>
        <v>0.6969774270147115</v>
      </c>
      <c r="AD153" s="337" t="s">
        <v>475</v>
      </c>
      <c r="AE153"/>
      <c r="AF153"/>
      <c r="AG153"/>
    </row>
    <row r="154" spans="1:33" ht="13.5">
      <c r="A154" s="307"/>
      <c r="K154" s="330" t="s">
        <v>489</v>
      </c>
      <c r="L154" s="331"/>
      <c r="Q154" s="293">
        <v>3</v>
      </c>
      <c r="R154" s="14">
        <f>2*R153</f>
        <v>1</v>
      </c>
      <c r="S154" s="15">
        <f t="shared" si="8"/>
        <v>0.41666666666666663</v>
      </c>
      <c r="T154" s="15"/>
      <c r="U154" s="16"/>
      <c r="W154" s="14">
        <f t="shared" si="10"/>
        <v>1</v>
      </c>
      <c r="X154" s="15">
        <f t="shared" si="9"/>
        <v>0.35</v>
      </c>
      <c r="Y154" s="15"/>
      <c r="Z154" s="16"/>
      <c r="AB154" s="2" t="s">
        <v>483</v>
      </c>
      <c r="AC154" s="7">
        <f>AC141*AC150-AC151</f>
        <v>0.39857288436475374</v>
      </c>
      <c r="AD154" s="337" t="s">
        <v>476</v>
      </c>
      <c r="AE154"/>
      <c r="AF154"/>
      <c r="AG154"/>
    </row>
    <row r="155" spans="1:33" ht="13.5">
      <c r="A155" s="307"/>
      <c r="K155" s="332" t="s">
        <v>490</v>
      </c>
      <c r="L155" s="333"/>
      <c r="Q155" s="293">
        <v>4</v>
      </c>
      <c r="R155" s="14">
        <f>3*R153</f>
        <v>1.5</v>
      </c>
      <c r="S155" s="15">
        <f t="shared" si="8"/>
        <v>0.5624999999999999</v>
      </c>
      <c r="T155" s="15"/>
      <c r="U155" s="16"/>
      <c r="W155" s="14">
        <f t="shared" si="10"/>
        <v>1.5</v>
      </c>
      <c r="X155" s="15">
        <f t="shared" si="9"/>
        <v>0.3611111111111112</v>
      </c>
      <c r="Y155" s="15"/>
      <c r="Z155" s="16"/>
      <c r="AB155" s="2" t="s">
        <v>520</v>
      </c>
      <c r="AC155" s="7">
        <f>AC141*AC151-AC152</f>
        <v>0.2679446172204266</v>
      </c>
      <c r="AD155" s="337" t="s">
        <v>521</v>
      </c>
      <c r="AE155"/>
      <c r="AF155"/>
      <c r="AG155"/>
    </row>
    <row r="156" spans="1:33" ht="13.5">
      <c r="A156" s="307"/>
      <c r="Q156" s="293">
        <v>5</v>
      </c>
      <c r="R156" s="14">
        <f>K138</f>
        <v>2</v>
      </c>
      <c r="S156" s="15">
        <f t="shared" si="8"/>
        <v>0.6666666666666666</v>
      </c>
      <c r="T156" s="15"/>
      <c r="U156" s="16"/>
      <c r="W156" s="14">
        <f t="shared" si="10"/>
        <v>2</v>
      </c>
      <c r="X156" s="15">
        <f t="shared" si="9"/>
        <v>0.375</v>
      </c>
      <c r="Y156" s="15"/>
      <c r="Z156" s="16"/>
      <c r="AB156" s="2" t="s">
        <v>484</v>
      </c>
      <c r="AC156" s="7">
        <f>1/AC145*AC153</f>
        <v>0.7318262983654471</v>
      </c>
      <c r="AD156" s="337" t="s">
        <v>522</v>
      </c>
      <c r="AE156"/>
      <c r="AF156"/>
      <c r="AG156"/>
    </row>
    <row r="157" spans="1:33" ht="13.5">
      <c r="A157" s="307"/>
      <c r="Q157" s="293">
        <v>6</v>
      </c>
      <c r="R157" s="14">
        <f>0.5*K137+0.5*K138</f>
        <v>2.75</v>
      </c>
      <c r="S157" s="15">
        <f t="shared" si="8"/>
        <v>0.7575757575757576</v>
      </c>
      <c r="T157" s="15"/>
      <c r="U157" s="16"/>
      <c r="W157" s="14">
        <f t="shared" si="10"/>
        <v>2.75</v>
      </c>
      <c r="X157" s="15">
        <f t="shared" si="9"/>
        <v>0.3981818181818182</v>
      </c>
      <c r="Y157" s="15"/>
      <c r="Z157" s="16"/>
      <c r="AB157" s="2" t="s">
        <v>485</v>
      </c>
      <c r="AC157" s="7">
        <f>AC156-1/AC145^2*AC154</f>
        <v>0.29239969335330607</v>
      </c>
      <c r="AD157" s="337" t="s">
        <v>523</v>
      </c>
      <c r="AE157"/>
      <c r="AF157"/>
      <c r="AG157"/>
    </row>
    <row r="158" spans="1:33" ht="13.5">
      <c r="A158" s="307"/>
      <c r="Q158" s="293"/>
      <c r="R158" s="14">
        <f>K137</f>
        <v>3.5</v>
      </c>
      <c r="S158" s="15">
        <f t="shared" si="8"/>
        <v>0.8095238095238095</v>
      </c>
      <c r="T158" s="15"/>
      <c r="U158" s="16"/>
      <c r="W158" s="14">
        <f t="shared" si="10"/>
        <v>3.5</v>
      </c>
      <c r="X158" s="15">
        <f t="shared" si="9"/>
        <v>0.41596638655462187</v>
      </c>
      <c r="Y158" s="15"/>
      <c r="Z158" s="16"/>
      <c r="AB158" s="2" t="s">
        <v>524</v>
      </c>
      <c r="AC158" s="7">
        <f>1/AC145^2*AC154</f>
        <v>0.43942660501214104</v>
      </c>
      <c r="AD158" s="337" t="s">
        <v>526</v>
      </c>
      <c r="AE158"/>
      <c r="AF158"/>
      <c r="AG158"/>
    </row>
    <row r="159" spans="1:33" ht="13.5">
      <c r="A159" s="307"/>
      <c r="R159" s="14"/>
      <c r="S159" s="15"/>
      <c r="T159" s="15"/>
      <c r="U159" s="16"/>
      <c r="W159" s="14"/>
      <c r="X159" s="15"/>
      <c r="Y159" s="15"/>
      <c r="Z159" s="16"/>
      <c r="AB159" s="2" t="s">
        <v>525</v>
      </c>
      <c r="AC159" s="10">
        <f>AC158-1/AC145^3*AC155</f>
        <v>0.12924721750234464</v>
      </c>
      <c r="AD159" s="337" t="s">
        <v>527</v>
      </c>
      <c r="AE159"/>
      <c r="AF159"/>
      <c r="AG159"/>
    </row>
    <row r="160" spans="1:33" ht="12.75">
      <c r="A160" s="307"/>
      <c r="Q160" s="293">
        <v>0</v>
      </c>
      <c r="R160" s="14">
        <v>0</v>
      </c>
      <c r="S160" s="15"/>
      <c r="T160" s="15">
        <f aca="true" t="shared" si="11" ref="T160:T166">fKa(R160,L$138,F$142,1)</f>
        <v>0</v>
      </c>
      <c r="U160" s="16"/>
      <c r="W160" s="14">
        <f t="shared" si="10"/>
        <v>0</v>
      </c>
      <c r="X160" s="15"/>
      <c r="Y160" s="15">
        <f aca="true" t="shared" si="12" ref="Y160:Y166">fKa(R160,L$138,F$142,2)</f>
        <v>0.3333333333333333</v>
      </c>
      <c r="Z160" s="16"/>
      <c r="AB160"/>
      <c r="AD160"/>
      <c r="AE160"/>
      <c r="AF160"/>
      <c r="AG160"/>
    </row>
    <row r="161" spans="1:33" ht="12.75">
      <c r="A161" s="307"/>
      <c r="Q161" s="293">
        <v>1</v>
      </c>
      <c r="R161" s="14">
        <f>L138/4</f>
        <v>0.525</v>
      </c>
      <c r="S161" s="15"/>
      <c r="T161" s="15">
        <f t="shared" si="11"/>
        <v>0.3307127615765768</v>
      </c>
      <c r="U161" s="16"/>
      <c r="W161" s="14">
        <f t="shared" si="10"/>
        <v>0.525</v>
      </c>
      <c r="X161" s="15"/>
      <c r="Y161" s="15">
        <f t="shared" si="12"/>
        <v>0.3544225476735971</v>
      </c>
      <c r="Z161" s="16"/>
      <c r="AB161"/>
      <c r="AC161" s="155" t="s">
        <v>529</v>
      </c>
      <c r="AD161"/>
      <c r="AE161"/>
      <c r="AF161"/>
      <c r="AG161"/>
    </row>
    <row r="162" spans="1:33" ht="13.5">
      <c r="A162" s="307"/>
      <c r="Q162" s="293">
        <v>2</v>
      </c>
      <c r="R162" s="14">
        <f>2*R161</f>
        <v>1.05</v>
      </c>
      <c r="S162" s="15"/>
      <c r="T162" s="15">
        <f t="shared" si="11"/>
        <v>0.533568328975739</v>
      </c>
      <c r="U162" s="16"/>
      <c r="W162" s="14">
        <f t="shared" si="10"/>
        <v>1.05</v>
      </c>
      <c r="X162" s="15"/>
      <c r="Y162" s="15">
        <f t="shared" si="12"/>
        <v>0.3719858362752143</v>
      </c>
      <c r="Z162" s="16"/>
      <c r="AB162" s="3" t="s">
        <v>25</v>
      </c>
      <c r="AC162" s="421">
        <f>AC134/AC142</f>
        <v>1</v>
      </c>
      <c r="AD162" s="337" t="s">
        <v>530</v>
      </c>
      <c r="AE162"/>
      <c r="AF162"/>
      <c r="AG162"/>
    </row>
    <row r="163" spans="1:33" ht="12.75">
      <c r="A163" s="307"/>
      <c r="Q163" s="293">
        <v>3</v>
      </c>
      <c r="R163" s="14">
        <f>3*R161</f>
        <v>1.5750000000000002</v>
      </c>
      <c r="S163" s="339"/>
      <c r="T163" s="15">
        <f t="shared" si="11"/>
        <v>0.6626719836128823</v>
      </c>
      <c r="U163" s="340"/>
      <c r="W163" s="14">
        <f t="shared" si="10"/>
        <v>1.5750000000000002</v>
      </c>
      <c r="X163" s="339"/>
      <c r="Y163" s="15">
        <f t="shared" si="12"/>
        <v>0.38764194495174437</v>
      </c>
      <c r="Z163" s="340"/>
      <c r="AB163" s="269" t="s">
        <v>17</v>
      </c>
      <c r="AC163" s="419">
        <f>IF(AC134&lt;AC142,1-AC162/(AC144+1),1-1/3/AC162)</f>
        <v>0.6666666666666667</v>
      </c>
      <c r="AD163" s="337"/>
      <c r="AE163"/>
      <c r="AF163"/>
      <c r="AG163"/>
    </row>
    <row r="164" spans="1:34" ht="12.75">
      <c r="A164" s="307"/>
      <c r="Q164" s="293">
        <v>4</v>
      </c>
      <c r="R164" s="14">
        <f>L138</f>
        <v>2.1</v>
      </c>
      <c r="S164" s="339"/>
      <c r="T164" s="15">
        <f t="shared" si="11"/>
        <v>0.7445812686510368</v>
      </c>
      <c r="U164" s="341"/>
      <c r="W164" s="14">
        <f t="shared" si="10"/>
        <v>2.1</v>
      </c>
      <c r="X164" s="339"/>
      <c r="Y164" s="15">
        <f t="shared" si="12"/>
        <v>0.4022902512697994</v>
      </c>
      <c r="Z164" s="341"/>
      <c r="AB164" s="2" t="s">
        <v>18</v>
      </c>
      <c r="AC164" s="422">
        <f>IF(AC134&lt;AC142,(6*AC162^2-4*AC162+1)/4/AC162/(3*AC162-1),(4-AC162)/4/(3-AC162))</f>
        <v>0.375</v>
      </c>
      <c r="AD164" s="364"/>
      <c r="AE164"/>
      <c r="AG164"/>
      <c r="AH164" s="3"/>
    </row>
    <row r="165" spans="1:33" ht="12.75">
      <c r="A165" s="307"/>
      <c r="Q165" s="293">
        <v>5</v>
      </c>
      <c r="R165" s="14">
        <f>0.5*L137+0.5*L138</f>
        <v>2.8</v>
      </c>
      <c r="S165" s="339"/>
      <c r="T165" s="15">
        <f t="shared" si="11"/>
        <v>0.8050921397498728</v>
      </c>
      <c r="U165" s="340"/>
      <c r="W165" s="14">
        <f t="shared" si="10"/>
        <v>2.8</v>
      </c>
      <c r="X165" s="339"/>
      <c r="Y165" s="15">
        <f t="shared" si="12"/>
        <v>0.4212368725604366</v>
      </c>
      <c r="Z165" s="340"/>
      <c r="AB165"/>
      <c r="AD165" s="364"/>
      <c r="AE165"/>
      <c r="AF165"/>
      <c r="AG165"/>
    </row>
    <row r="166" spans="1:33" ht="12.75">
      <c r="A166" s="307"/>
      <c r="Q166" s="282">
        <v>6</v>
      </c>
      <c r="R166" s="14">
        <f>L137</f>
        <v>3.5</v>
      </c>
      <c r="S166" s="339"/>
      <c r="T166" s="15">
        <f t="shared" si="11"/>
        <v>0.8277266471050504</v>
      </c>
      <c r="U166" s="340"/>
      <c r="W166" s="14">
        <f t="shared" si="10"/>
        <v>3.5</v>
      </c>
      <c r="X166" s="339"/>
      <c r="Y166" s="15">
        <f t="shared" si="12"/>
        <v>0.4404105957728371</v>
      </c>
      <c r="Z166" s="340"/>
      <c r="AB166"/>
      <c r="AC166"/>
      <c r="AD166"/>
      <c r="AE166"/>
      <c r="AF166"/>
      <c r="AG166"/>
    </row>
    <row r="167" spans="1:33" ht="12.75">
      <c r="A167" s="307"/>
      <c r="R167" s="14"/>
      <c r="S167" s="339"/>
      <c r="T167" s="15"/>
      <c r="U167" s="340"/>
      <c r="W167" s="14"/>
      <c r="X167" s="339"/>
      <c r="Y167" s="15"/>
      <c r="Z167" s="340"/>
      <c r="AB167"/>
      <c r="AC167"/>
      <c r="AD167"/>
      <c r="AE167"/>
      <c r="AF167"/>
      <c r="AG167"/>
    </row>
    <row r="168" spans="1:33" ht="12.75">
      <c r="A168" s="307"/>
      <c r="R168" s="14">
        <f>MAX(R158,R166)</f>
        <v>3.5</v>
      </c>
      <c r="S168" s="339"/>
      <c r="T168" s="15"/>
      <c r="U168" s="340">
        <f>IF(F139&gt;50,0.8-(F139-50)/400,0.8)*IF(F139&gt;50,1-(F139-50)/200,1)</f>
        <v>0.8</v>
      </c>
      <c r="W168" s="14">
        <f t="shared" si="10"/>
        <v>3.5</v>
      </c>
      <c r="X168" s="339"/>
      <c r="Y168" s="15"/>
      <c r="Z168" s="340">
        <f>IF(F139&gt;50,0.8-(F139-50)/400,0.8)/2</f>
        <v>0.4</v>
      </c>
      <c r="AB168"/>
      <c r="AC168"/>
      <c r="AD168"/>
      <c r="AE168"/>
      <c r="AF168"/>
      <c r="AG168"/>
    </row>
    <row r="169" spans="1:26" ht="12.75">
      <c r="A169" s="307"/>
      <c r="R169" s="17">
        <v>0</v>
      </c>
      <c r="S169" s="342"/>
      <c r="T169" s="310"/>
      <c r="U169" s="343">
        <f>U168</f>
        <v>0.8</v>
      </c>
      <c r="W169" s="17">
        <f t="shared" si="10"/>
        <v>0</v>
      </c>
      <c r="X169" s="342"/>
      <c r="Y169" s="310"/>
      <c r="Z169" s="343">
        <f>Z168</f>
        <v>0.4</v>
      </c>
    </row>
    <row r="170" spans="20:22" ht="12">
      <c r="T170" s="5"/>
      <c r="V170" s="2"/>
    </row>
    <row r="171" spans="1:22" ht="12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T171" s="29" t="s">
        <v>410</v>
      </c>
      <c r="V171" s="3"/>
    </row>
    <row r="172" spans="1:22" ht="13.5">
      <c r="A172" s="29" t="s">
        <v>498</v>
      </c>
      <c r="T172" s="138" t="s">
        <v>495</v>
      </c>
      <c r="V172" s="2"/>
    </row>
    <row r="173" spans="1:22" ht="12">
      <c r="A173" s="4" t="s">
        <v>497</v>
      </c>
      <c r="I173" s="82" t="str">
        <f>fMRd52(B183,B184,B185,B196,B197,B198,B186,B187,B188,B189,B190,B191,B192,B193,B194,B195)</f>
        <v>310115545413012019363101155454130123152133018997071303403872330312865431011601611101160157000000000000000000003303257660310191982031013482453101291255310124232231012222220000000000</v>
      </c>
      <c r="J173" s="5" t="s">
        <v>460</v>
      </c>
      <c r="T173" s="29" t="s">
        <v>411</v>
      </c>
      <c r="V173" s="2"/>
    </row>
    <row r="174" spans="7:22" ht="13.5">
      <c r="G174" s="282">
        <v>1</v>
      </c>
      <c r="H174" s="3" t="s">
        <v>80</v>
      </c>
      <c r="I174" s="83">
        <f aca="true" t="shared" si="13" ref="I174:I191">macf(I$173,G174)</f>
        <v>0.6432771109138394</v>
      </c>
      <c r="J174" s="4" t="s">
        <v>9</v>
      </c>
      <c r="K174" s="5" t="s">
        <v>81</v>
      </c>
      <c r="S174" s="2" t="s">
        <v>383</v>
      </c>
      <c r="T174" s="138" t="s">
        <v>408</v>
      </c>
      <c r="V174" s="2"/>
    </row>
    <row r="175" spans="7:22" ht="13.5">
      <c r="G175" s="282">
        <v>2</v>
      </c>
      <c r="H175" s="3" t="s">
        <v>5</v>
      </c>
      <c r="I175" s="84">
        <f t="shared" si="13"/>
        <v>-2.0193600000000003</v>
      </c>
      <c r="J175" s="4" t="s">
        <v>9</v>
      </c>
      <c r="K175" s="5" t="s">
        <v>159</v>
      </c>
      <c r="S175" s="144" t="s">
        <v>445</v>
      </c>
      <c r="T175" s="138" t="s">
        <v>499</v>
      </c>
      <c r="V175" s="2"/>
    </row>
    <row r="176" spans="7:22" ht="13.5">
      <c r="G176" s="282">
        <v>3</v>
      </c>
      <c r="H176" s="3" t="s">
        <v>60</v>
      </c>
      <c r="I176" s="9">
        <f t="shared" si="13"/>
        <v>0.6432771109138394</v>
      </c>
      <c r="J176" s="4" t="s">
        <v>9</v>
      </c>
      <c r="K176" s="5" t="s">
        <v>160</v>
      </c>
      <c r="S176" s="2" t="s">
        <v>414</v>
      </c>
      <c r="T176" s="138" t="s">
        <v>415</v>
      </c>
      <c r="V176" s="2"/>
    </row>
    <row r="177" spans="7:22" ht="14.25" thickBot="1">
      <c r="G177" s="282">
        <v>4</v>
      </c>
      <c r="H177" s="3" t="s">
        <v>42</v>
      </c>
      <c r="I177" s="84">
        <f t="shared" si="13"/>
        <v>-2.31521</v>
      </c>
      <c r="J177" s="4" t="s">
        <v>9</v>
      </c>
      <c r="K177" s="5" t="s">
        <v>82</v>
      </c>
      <c r="T177" s="5"/>
      <c r="V177" s="2"/>
    </row>
    <row r="178" spans="1:22" ht="14.25" thickTop="1">
      <c r="A178" s="2" t="s">
        <v>14</v>
      </c>
      <c r="B178" s="489">
        <v>25</v>
      </c>
      <c r="C178" s="5" t="s">
        <v>10</v>
      </c>
      <c r="D178" s="4" t="s">
        <v>67</v>
      </c>
      <c r="G178" s="282">
        <v>5</v>
      </c>
      <c r="H178" s="3" t="s">
        <v>38</v>
      </c>
      <c r="I178" s="8">
        <f t="shared" si="13"/>
        <v>8.99707</v>
      </c>
      <c r="J178" s="5" t="s">
        <v>10</v>
      </c>
      <c r="K178" s="5" t="s">
        <v>83</v>
      </c>
      <c r="V178" s="2"/>
    </row>
    <row r="179" spans="1:22" ht="13.5">
      <c r="A179" s="3" t="s">
        <v>230</v>
      </c>
      <c r="B179" s="485">
        <v>1.5</v>
      </c>
      <c r="D179" s="5" t="s">
        <v>67</v>
      </c>
      <c r="G179" s="282">
        <v>6</v>
      </c>
      <c r="H179" s="3" t="s">
        <v>23</v>
      </c>
      <c r="I179" s="326">
        <f t="shared" si="13"/>
        <v>-403.872</v>
      </c>
      <c r="J179" s="34" t="s">
        <v>10</v>
      </c>
      <c r="K179" s="5" t="s">
        <v>151</v>
      </c>
      <c r="V179" s="2"/>
    </row>
    <row r="180" spans="1:22" ht="13.5">
      <c r="A180" s="30" t="s">
        <v>357</v>
      </c>
      <c r="B180" s="490" t="s">
        <v>43</v>
      </c>
      <c r="C180" s="56"/>
      <c r="D180" s="31" t="s">
        <v>63</v>
      </c>
      <c r="G180" s="282">
        <v>7</v>
      </c>
      <c r="H180" s="3" t="s">
        <v>57</v>
      </c>
      <c r="I180" s="8">
        <f t="shared" si="13"/>
        <v>128.654</v>
      </c>
      <c r="J180" s="34" t="s">
        <v>10</v>
      </c>
      <c r="K180" s="5" t="s">
        <v>158</v>
      </c>
      <c r="V180" s="2"/>
    </row>
    <row r="181" spans="1:23" ht="13.5">
      <c r="A181" s="2" t="s">
        <v>228</v>
      </c>
      <c r="B181" s="485">
        <v>500</v>
      </c>
      <c r="C181" s="5" t="s">
        <v>10</v>
      </c>
      <c r="D181" s="5" t="s">
        <v>63</v>
      </c>
      <c r="G181" s="282">
        <v>8</v>
      </c>
      <c r="H181" s="2" t="s">
        <v>37</v>
      </c>
      <c r="I181" s="41">
        <f t="shared" si="13"/>
        <v>0.624371725950762</v>
      </c>
      <c r="J181" s="34" t="s">
        <v>166</v>
      </c>
      <c r="K181" s="5" t="s">
        <v>164</v>
      </c>
      <c r="V181" s="2"/>
      <c r="W181" s="143"/>
    </row>
    <row r="182" spans="1:22" ht="13.5">
      <c r="A182" s="3" t="s">
        <v>227</v>
      </c>
      <c r="B182" s="485">
        <v>1.15</v>
      </c>
      <c r="D182" s="5" t="s">
        <v>63</v>
      </c>
      <c r="G182" s="282">
        <v>9</v>
      </c>
      <c r="H182" s="2" t="s">
        <v>36</v>
      </c>
      <c r="I182" s="41">
        <f t="shared" si="13"/>
        <v>-0.6243873199423066</v>
      </c>
      <c r="J182" s="5" t="s">
        <v>166</v>
      </c>
      <c r="K182" s="5" t="s">
        <v>152</v>
      </c>
      <c r="N182" s="2" t="s">
        <v>163</v>
      </c>
      <c r="O182" s="86">
        <f>-I182/(I181+I184+I183)</f>
        <v>1.0000249754927977</v>
      </c>
      <c r="V182" s="2"/>
    </row>
    <row r="183" spans="1:22" ht="13.5">
      <c r="A183" s="2" t="s">
        <v>76</v>
      </c>
      <c r="B183" s="490">
        <v>257.66</v>
      </c>
      <c r="C183" s="34" t="s">
        <v>12</v>
      </c>
      <c r="D183" s="5" t="s">
        <v>154</v>
      </c>
      <c r="G183" s="282">
        <v>10</v>
      </c>
      <c r="H183" s="2" t="s">
        <v>73</v>
      </c>
      <c r="I183" s="41">
        <f t="shared" si="13"/>
        <v>0</v>
      </c>
      <c r="J183" s="5" t="s">
        <v>166</v>
      </c>
      <c r="K183" s="5" t="s">
        <v>153</v>
      </c>
      <c r="N183" s="2" t="s">
        <v>157</v>
      </c>
      <c r="O183" s="86">
        <f>I185/B183</f>
        <v>1</v>
      </c>
      <c r="R183" s="2"/>
      <c r="S183" s="85"/>
      <c r="V183" s="2"/>
    </row>
    <row r="184" spans="1:22" ht="13.5">
      <c r="A184" s="2" t="s">
        <v>47</v>
      </c>
      <c r="B184" s="490">
        <v>15.46</v>
      </c>
      <c r="C184" s="5" t="s">
        <v>13</v>
      </c>
      <c r="D184" s="5" t="s">
        <v>78</v>
      </c>
      <c r="G184" s="282">
        <v>11</v>
      </c>
      <c r="H184" s="2" t="s">
        <v>161</v>
      </c>
      <c r="I184" s="41">
        <f t="shared" si="13"/>
        <v>0</v>
      </c>
      <c r="J184" s="5" t="s">
        <v>166</v>
      </c>
      <c r="K184" s="5" t="s">
        <v>162</v>
      </c>
      <c r="N184" s="5"/>
      <c r="Q184" s="11"/>
      <c r="R184" s="426" t="s">
        <v>640</v>
      </c>
      <c r="S184" s="427" t="s">
        <v>218</v>
      </c>
      <c r="T184" s="13" t="s">
        <v>641</v>
      </c>
      <c r="V184" s="2"/>
    </row>
    <row r="185" spans="1:22" ht="13.5">
      <c r="A185" s="2" t="s">
        <v>46</v>
      </c>
      <c r="B185" s="490">
        <v>0</v>
      </c>
      <c r="C185" s="5" t="s">
        <v>13</v>
      </c>
      <c r="D185" s="5" t="s">
        <v>79</v>
      </c>
      <c r="G185" s="282">
        <v>12</v>
      </c>
      <c r="H185" s="2" t="s">
        <v>24</v>
      </c>
      <c r="I185" s="296">
        <f t="shared" si="13"/>
        <v>257.66</v>
      </c>
      <c r="J185" s="34" t="s">
        <v>12</v>
      </c>
      <c r="K185" s="5" t="s">
        <v>165</v>
      </c>
      <c r="O185" s="425">
        <f>I185/B183</f>
        <v>1</v>
      </c>
      <c r="Q185" s="14">
        <v>0</v>
      </c>
      <c r="R185" s="428">
        <v>0</v>
      </c>
      <c r="S185" s="429"/>
      <c r="T185" s="16"/>
      <c r="V185" s="2"/>
    </row>
    <row r="186" spans="1:22" ht="12">
      <c r="A186" s="2" t="s">
        <v>0</v>
      </c>
      <c r="B186" s="490">
        <v>1.2</v>
      </c>
      <c r="C186" s="5" t="s">
        <v>11</v>
      </c>
      <c r="D186" s="5" t="s">
        <v>64</v>
      </c>
      <c r="G186" s="282">
        <v>13</v>
      </c>
      <c r="H186" s="2" t="s">
        <v>26</v>
      </c>
      <c r="I186" s="296">
        <f t="shared" si="13"/>
        <v>0.10871692287621491</v>
      </c>
      <c r="J186" s="34" t="s">
        <v>11</v>
      </c>
      <c r="K186" s="5" t="str">
        <f>"hauteur béton comprimé   y/d = "&amp;ROUND(I186/B190,3)</f>
        <v>hauteur béton comprimé   y/d = 0,242</v>
      </c>
      <c r="N186" s="348"/>
      <c r="Q186" s="14">
        <f>B196/200</f>
        <v>2.1739130434782608</v>
      </c>
      <c r="R186" s="430">
        <f>B196</f>
        <v>434.7826086956522</v>
      </c>
      <c r="S186" s="429"/>
      <c r="T186" s="16"/>
      <c r="V186" s="2"/>
    </row>
    <row r="187" spans="1:22" ht="13.5">
      <c r="A187" s="2" t="s">
        <v>25</v>
      </c>
      <c r="B187" s="490">
        <v>0.5</v>
      </c>
      <c r="C187" s="5" t="s">
        <v>11</v>
      </c>
      <c r="D187" s="5" t="s">
        <v>77</v>
      </c>
      <c r="G187" s="282">
        <v>14</v>
      </c>
      <c r="H187" s="2" t="s">
        <v>17</v>
      </c>
      <c r="I187" s="41">
        <f t="shared" si="13"/>
        <v>0.28715415871010347</v>
      </c>
      <c r="K187" s="5" t="s">
        <v>167</v>
      </c>
      <c r="Q187" s="14">
        <f>0.9*B198</f>
        <v>45</v>
      </c>
      <c r="R187" s="428">
        <f>B196*(1+(B197-1)*(0.9*B198-Q186)/(Q187-Q186))</f>
        <v>469.5652173913044</v>
      </c>
      <c r="S187" s="429"/>
      <c r="T187" s="16"/>
      <c r="V187" s="2"/>
    </row>
    <row r="188" spans="1:22" ht="13.5">
      <c r="A188" s="2" t="s">
        <v>40</v>
      </c>
      <c r="B188" s="485">
        <v>0.3</v>
      </c>
      <c r="C188" s="5" t="s">
        <v>11</v>
      </c>
      <c r="D188" s="5" t="s">
        <v>65</v>
      </c>
      <c r="G188" s="282">
        <v>15</v>
      </c>
      <c r="H188" s="2" t="s">
        <v>18</v>
      </c>
      <c r="I188" s="41">
        <f t="shared" si="13"/>
        <v>0.34334174520609084</v>
      </c>
      <c r="J188" s="34"/>
      <c r="K188" s="5" t="s">
        <v>84</v>
      </c>
      <c r="Q188" s="14"/>
      <c r="R188" s="428"/>
      <c r="S188" s="429"/>
      <c r="T188" s="16"/>
      <c r="V188" s="2"/>
    </row>
    <row r="189" spans="1:22" ht="13.5">
      <c r="A189" s="2" t="s">
        <v>41</v>
      </c>
      <c r="B189" s="485">
        <v>0.14</v>
      </c>
      <c r="C189" s="5" t="s">
        <v>11</v>
      </c>
      <c r="D189" s="5" t="s">
        <v>66</v>
      </c>
      <c r="G189" s="282">
        <v>16</v>
      </c>
      <c r="H189" s="2" t="s">
        <v>21</v>
      </c>
      <c r="I189" s="41">
        <f t="shared" si="13"/>
        <v>0.41267404527859625</v>
      </c>
      <c r="J189" s="34" t="s">
        <v>11</v>
      </c>
      <c r="K189" s="5" t="s">
        <v>168</v>
      </c>
      <c r="Q189" s="14">
        <f>ABS(I175)</f>
        <v>2.0193600000000003</v>
      </c>
      <c r="R189" s="15"/>
      <c r="S189" s="428">
        <f>ABS(I179)</f>
        <v>403.872</v>
      </c>
      <c r="T189" s="16"/>
      <c r="V189" s="2"/>
    </row>
    <row r="190" spans="1:22" ht="13.5">
      <c r="A190" s="2" t="s">
        <v>33</v>
      </c>
      <c r="B190" s="490">
        <v>0.45</v>
      </c>
      <c r="C190" s="5" t="s">
        <v>11</v>
      </c>
      <c r="D190" s="5" t="s">
        <v>16</v>
      </c>
      <c r="G190" s="282">
        <v>17</v>
      </c>
      <c r="H190" s="2" t="s">
        <v>170</v>
      </c>
      <c r="I190" s="41">
        <f t="shared" si="13"/>
        <v>0.45000045000044997</v>
      </c>
      <c r="J190" s="34" t="s">
        <v>11</v>
      </c>
      <c r="K190" s="5" t="s">
        <v>156</v>
      </c>
      <c r="Q190" s="14"/>
      <c r="R190" s="428"/>
      <c r="S190" s="429"/>
      <c r="T190" s="16"/>
      <c r="V190" s="2"/>
    </row>
    <row r="191" spans="1:22" ht="14.25" thickBot="1">
      <c r="A191" s="2" t="s">
        <v>56</v>
      </c>
      <c r="B191" s="491">
        <v>0</v>
      </c>
      <c r="C191" s="5" t="s">
        <v>11</v>
      </c>
      <c r="D191" s="5" t="s">
        <v>155</v>
      </c>
      <c r="G191" s="282">
        <v>18</v>
      </c>
      <c r="H191" s="2" t="s">
        <v>171</v>
      </c>
      <c r="I191" s="81">
        <f t="shared" si="13"/>
        <v>0</v>
      </c>
      <c r="J191" s="34" t="s">
        <v>11</v>
      </c>
      <c r="K191" s="5" t="s">
        <v>169</v>
      </c>
      <c r="Q191" s="14">
        <f>Q186</f>
        <v>2.1739130434782608</v>
      </c>
      <c r="R191" s="428"/>
      <c r="S191" s="429"/>
      <c r="T191" s="16">
        <f>0</f>
        <v>0</v>
      </c>
      <c r="V191" s="2"/>
    </row>
    <row r="192" spans="1:22" ht="14.25" thickTop="1">
      <c r="A192" s="2" t="s">
        <v>1</v>
      </c>
      <c r="B192" s="345">
        <f>B178/B179</f>
        <v>16.666666666666668</v>
      </c>
      <c r="C192" s="5" t="s">
        <v>10</v>
      </c>
      <c r="D192" s="5" t="s">
        <v>67</v>
      </c>
      <c r="G192" s="2"/>
      <c r="H192" s="2"/>
      <c r="I192" s="344" t="str">
        <f>"axe neutre dans la "&amp;IF(I186&gt;B189,"nervure","table")</f>
        <v>axe neutre dans la table</v>
      </c>
      <c r="J192" s="34"/>
      <c r="K192" s="5"/>
      <c r="Q192" s="14">
        <f>Q191</f>
        <v>2.1739130434782608</v>
      </c>
      <c r="R192" s="428"/>
      <c r="S192" s="429"/>
      <c r="T192" s="431">
        <f>R186</f>
        <v>434.7826086956522</v>
      </c>
      <c r="V192" s="2"/>
    </row>
    <row r="193" spans="1:22" ht="13.5">
      <c r="A193" s="3" t="s">
        <v>19</v>
      </c>
      <c r="B193" s="313">
        <f>VLOOKUP(B178,tabfck,7)</f>
        <v>2</v>
      </c>
      <c r="C193" s="4" t="s">
        <v>9</v>
      </c>
      <c r="D193" s="5" t="s">
        <v>67</v>
      </c>
      <c r="G193" s="2"/>
      <c r="H193" s="2"/>
      <c r="J193" s="34"/>
      <c r="K193" s="5"/>
      <c r="Q193" s="17">
        <v>0</v>
      </c>
      <c r="R193" s="432"/>
      <c r="S193" s="433"/>
      <c r="T193" s="434">
        <f>T192</f>
        <v>434.7826086956522</v>
      </c>
      <c r="V193" s="2"/>
    </row>
    <row r="194" spans="1:22" ht="13.5">
      <c r="A194" s="3" t="s">
        <v>34</v>
      </c>
      <c r="B194" s="313">
        <f>VLOOKUP(B178,tabfck,6)</f>
        <v>3.5</v>
      </c>
      <c r="C194" s="4" t="s">
        <v>9</v>
      </c>
      <c r="D194" s="5" t="s">
        <v>67</v>
      </c>
      <c r="G194" s="2"/>
      <c r="H194" s="2"/>
      <c r="J194" s="34"/>
      <c r="K194" s="5"/>
      <c r="R194" s="2"/>
      <c r="S194" s="85"/>
      <c r="V194" s="2"/>
    </row>
    <row r="195" spans="1:22" ht="12">
      <c r="A195" s="144" t="s">
        <v>31</v>
      </c>
      <c r="B195" s="313">
        <f>VLOOKUP(B178,tabfck,8)</f>
        <v>2</v>
      </c>
      <c r="C195" s="4"/>
      <c r="D195" s="5" t="s">
        <v>406</v>
      </c>
      <c r="G195" s="2"/>
      <c r="H195" s="2"/>
      <c r="J195" s="34"/>
      <c r="K195" s="5"/>
      <c r="R195" s="2"/>
      <c r="S195" s="85"/>
      <c r="V195" s="2"/>
    </row>
    <row r="196" spans="1:22" ht="13.5">
      <c r="A196" s="2" t="s">
        <v>4</v>
      </c>
      <c r="B196" s="346">
        <f>B181/B182</f>
        <v>434.7826086956522</v>
      </c>
      <c r="C196" s="34" t="s">
        <v>10</v>
      </c>
      <c r="D196" s="5" t="s">
        <v>63</v>
      </c>
      <c r="G196" s="2"/>
      <c r="H196" s="2"/>
      <c r="J196" s="34"/>
      <c r="K196" s="5"/>
      <c r="R196" s="2"/>
      <c r="S196" s="85"/>
      <c r="V196" s="2"/>
    </row>
    <row r="197" spans="1:22" ht="12">
      <c r="A197" s="2" t="s">
        <v>7</v>
      </c>
      <c r="B197" s="313">
        <f>VLOOKUP(B180,taba,2)</f>
        <v>1.08</v>
      </c>
      <c r="C197" s="34"/>
      <c r="D197" s="5" t="s">
        <v>63</v>
      </c>
      <c r="H197" s="1"/>
      <c r="R197" s="2"/>
      <c r="S197" s="85"/>
      <c r="V197" s="2"/>
    </row>
    <row r="198" spans="1:22" ht="13.5">
      <c r="A198" s="3" t="s">
        <v>8</v>
      </c>
      <c r="B198" s="313">
        <f>VLOOKUP(B180,taba,3)</f>
        <v>50</v>
      </c>
      <c r="C198" s="4" t="s">
        <v>9</v>
      </c>
      <c r="D198" s="5" t="s">
        <v>63</v>
      </c>
      <c r="G198" s="2"/>
      <c r="R198" s="2"/>
      <c r="S198" s="85"/>
      <c r="V198" s="2"/>
    </row>
    <row r="199" spans="1:22" ht="12">
      <c r="A199" s="3" t="s">
        <v>17</v>
      </c>
      <c r="B199" s="347">
        <f>B184/B186/B190/10000</f>
        <v>0.0028629629629629634</v>
      </c>
      <c r="D199" s="1" t="s">
        <v>496</v>
      </c>
      <c r="R199" s="2"/>
      <c r="S199" s="85"/>
      <c r="V199" s="2"/>
    </row>
    <row r="200" spans="1:22" ht="12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R200" s="2"/>
      <c r="S200" s="85"/>
      <c r="V200" s="2"/>
    </row>
    <row r="201" spans="1:22" ht="13.5">
      <c r="A201" s="29" t="s">
        <v>671</v>
      </c>
      <c r="C201" s="1"/>
      <c r="D201" s="1"/>
      <c r="R201" s="2"/>
      <c r="S201" s="85"/>
      <c r="V201" s="2"/>
    </row>
    <row r="202" spans="7:22" ht="12.75" thickBot="1">
      <c r="G202" s="5"/>
      <c r="R202" s="2"/>
      <c r="S202" s="85"/>
      <c r="V202" s="2"/>
    </row>
    <row r="203" spans="1:22" ht="12.75" thickTop="1">
      <c r="A203" s="2" t="s">
        <v>0</v>
      </c>
      <c r="B203" s="483">
        <v>0.8</v>
      </c>
      <c r="C203" s="5" t="s">
        <v>11</v>
      </c>
      <c r="D203" s="5" t="s">
        <v>15</v>
      </c>
      <c r="R203" s="2"/>
      <c r="S203" s="85"/>
      <c r="V203" s="2"/>
    </row>
    <row r="204" spans="1:22" ht="12">
      <c r="A204" s="2" t="s">
        <v>25</v>
      </c>
      <c r="B204" s="484">
        <v>1</v>
      </c>
      <c r="C204" s="5" t="s">
        <v>11</v>
      </c>
      <c r="D204" s="5" t="s">
        <v>77</v>
      </c>
      <c r="R204" s="2"/>
      <c r="S204" s="85"/>
      <c r="V204" s="2"/>
    </row>
    <row r="205" spans="1:22" ht="13.5">
      <c r="A205" s="2" t="s">
        <v>40</v>
      </c>
      <c r="B205" s="484">
        <v>0.3</v>
      </c>
      <c r="C205" s="5" t="s">
        <v>11</v>
      </c>
      <c r="D205" s="5" t="s">
        <v>553</v>
      </c>
      <c r="R205" s="2"/>
      <c r="S205" s="85"/>
      <c r="V205" s="2"/>
    </row>
    <row r="206" spans="1:22" ht="13.5">
      <c r="A206" s="2" t="s">
        <v>41</v>
      </c>
      <c r="B206" s="484">
        <v>0.2</v>
      </c>
      <c r="C206" s="5" t="s">
        <v>11</v>
      </c>
      <c r="D206" s="5" t="s">
        <v>554</v>
      </c>
      <c r="E206"/>
      <c r="G206" s="5" t="s">
        <v>182</v>
      </c>
      <c r="I206" s="5"/>
      <c r="R206" s="2"/>
      <c r="S206" s="85"/>
      <c r="V206" s="2"/>
    </row>
    <row r="207" spans="1:22" ht="13.5">
      <c r="A207" s="2" t="s">
        <v>179</v>
      </c>
      <c r="B207" s="484">
        <v>0.035</v>
      </c>
      <c r="C207" s="5" t="s">
        <v>11</v>
      </c>
      <c r="D207" s="5" t="s">
        <v>555</v>
      </c>
      <c r="E207"/>
      <c r="F207" s="2">
        <v>1</v>
      </c>
      <c r="G207" s="2" t="s">
        <v>183</v>
      </c>
      <c r="H207" s="139">
        <f>finef(B$203,B$204,B$205,B$206,B$207,B$208,B$209,B$210,B$211,F207)</f>
        <v>0.2513569887504352</v>
      </c>
      <c r="I207" s="5" t="s">
        <v>11</v>
      </c>
      <c r="J207" s="5" t="s">
        <v>184</v>
      </c>
      <c r="R207" s="2"/>
      <c r="S207" s="85"/>
      <c r="V207" s="2"/>
    </row>
    <row r="208" spans="1:22" ht="13.5">
      <c r="A208" s="2" t="s">
        <v>180</v>
      </c>
      <c r="B208" s="484">
        <v>0.92</v>
      </c>
      <c r="C208" s="5" t="s">
        <v>11</v>
      </c>
      <c r="D208" s="5" t="s">
        <v>556</v>
      </c>
      <c r="E208"/>
      <c r="F208" s="2">
        <v>2</v>
      </c>
      <c r="G208" s="2" t="s">
        <v>28</v>
      </c>
      <c r="H208" s="148">
        <f>finef(B$203,B$204,B$205,B$206,B$207,B$208,B$209,B$210,B$211,F208)</f>
        <v>0.020669451802730623</v>
      </c>
      <c r="I208" s="5" t="s">
        <v>86</v>
      </c>
      <c r="J208" s="5" t="s">
        <v>91</v>
      </c>
      <c r="R208" s="2"/>
      <c r="S208" s="85"/>
      <c r="V208" s="2"/>
    </row>
    <row r="209" spans="1:22" ht="13.5">
      <c r="A209" s="2" t="s">
        <v>46</v>
      </c>
      <c r="B209" s="484">
        <v>0</v>
      </c>
      <c r="C209" s="5" t="s">
        <v>13</v>
      </c>
      <c r="D209" s="5" t="s">
        <v>557</v>
      </c>
      <c r="E209"/>
      <c r="F209"/>
      <c r="G209"/>
      <c r="H209" s="1" t="str">
        <f>"fibre neutre dans "&amp;IF(H207&gt;B206,"l'âme","la table")</f>
        <v>fibre neutre dans l'âme</v>
      </c>
      <c r="I209"/>
      <c r="R209" s="2"/>
      <c r="S209" s="85"/>
      <c r="V209" s="2"/>
    </row>
    <row r="210" spans="1:22" ht="13.5">
      <c r="A210" s="2" t="s">
        <v>47</v>
      </c>
      <c r="B210" s="484">
        <v>24.54</v>
      </c>
      <c r="C210" s="5" t="s">
        <v>13</v>
      </c>
      <c r="D210" s="5" t="s">
        <v>558</v>
      </c>
      <c r="E210" s="2"/>
      <c r="S210" s="85"/>
      <c r="V210" s="2"/>
    </row>
    <row r="211" spans="1:44" ht="14.25" thickBot="1">
      <c r="A211" s="3" t="s">
        <v>3</v>
      </c>
      <c r="B211" s="492">
        <v>15</v>
      </c>
      <c r="C211" s="337" t="s">
        <v>552</v>
      </c>
      <c r="D211" s="5" t="s">
        <v>250</v>
      </c>
      <c r="P211"/>
      <c r="Q211"/>
      <c r="R211" s="138"/>
      <c r="S211"/>
      <c r="T211"/>
      <c r="U211"/>
      <c r="V211" s="2"/>
      <c r="W211" s="143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</row>
    <row r="212" spans="16:44" ht="12.75" thickTop="1">
      <c r="P212"/>
      <c r="Q212"/>
      <c r="S212"/>
      <c r="T212"/>
      <c r="U212"/>
      <c r="V212" s="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</row>
    <row r="213" spans="1:44" ht="12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/>
      <c r="Q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</row>
    <row r="214" spans="1:44" ht="13.5">
      <c r="A214" s="29" t="s">
        <v>181</v>
      </c>
      <c r="C214" s="1"/>
      <c r="D214" s="1"/>
      <c r="P214"/>
      <c r="Q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</row>
    <row r="215" spans="7:44" ht="12.75" thickBot="1">
      <c r="G215" s="5"/>
      <c r="P215"/>
      <c r="Q215"/>
      <c r="R215" s="29"/>
      <c r="S215"/>
      <c r="T215" s="29" t="s">
        <v>410</v>
      </c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</row>
    <row r="216" spans="1:44" ht="12.75" thickTop="1">
      <c r="A216" s="2" t="s">
        <v>0</v>
      </c>
      <c r="B216" s="483">
        <v>2.65</v>
      </c>
      <c r="C216" s="5" t="s">
        <v>11</v>
      </c>
      <c r="G216" s="5"/>
      <c r="P216"/>
      <c r="Q216"/>
      <c r="R216"/>
      <c r="S216"/>
      <c r="T216" s="138" t="s">
        <v>48</v>
      </c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</row>
    <row r="217" spans="1:44" ht="13.5">
      <c r="A217" s="2" t="s">
        <v>25</v>
      </c>
      <c r="B217" s="484">
        <v>0.45</v>
      </c>
      <c r="C217" s="5" t="s">
        <v>11</v>
      </c>
      <c r="E217" s="2">
        <v>1</v>
      </c>
      <c r="F217" s="2" t="s">
        <v>49</v>
      </c>
      <c r="G217" s="139">
        <f aca="true" t="shared" si="14" ref="G217:G222">finer(B$216,B$217,B$218,B$219,B$220,B$221,B$222,B$223,B$224,E217)</f>
        <v>0.585495</v>
      </c>
      <c r="H217" s="5" t="s">
        <v>85</v>
      </c>
      <c r="I217" s="5" t="s">
        <v>88</v>
      </c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</row>
    <row r="218" spans="1:44" ht="13.5">
      <c r="A218" s="2" t="s">
        <v>40</v>
      </c>
      <c r="B218" s="484">
        <v>0.25</v>
      </c>
      <c r="C218" s="5" t="s">
        <v>11</v>
      </c>
      <c r="E218" s="2">
        <v>2</v>
      </c>
      <c r="F218" s="2" t="s">
        <v>29</v>
      </c>
      <c r="G218" s="140">
        <f t="shared" si="14"/>
        <v>0.12352432557067099</v>
      </c>
      <c r="H218" s="5" t="s">
        <v>11</v>
      </c>
      <c r="I218" s="5" t="s">
        <v>89</v>
      </c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</row>
    <row r="219" spans="1:44" ht="13.5">
      <c r="A219" s="2" t="s">
        <v>41</v>
      </c>
      <c r="B219" s="484">
        <v>0.18</v>
      </c>
      <c r="C219" s="5" t="s">
        <v>11</v>
      </c>
      <c r="E219" s="2">
        <v>3</v>
      </c>
      <c r="F219" s="2" t="s">
        <v>50</v>
      </c>
      <c r="G219" s="140">
        <f t="shared" si="14"/>
        <v>0.326475674429329</v>
      </c>
      <c r="H219" s="5" t="s">
        <v>11</v>
      </c>
      <c r="I219" s="5" t="s">
        <v>90</v>
      </c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</row>
    <row r="220" spans="1:42" ht="13.5">
      <c r="A220" s="2" t="s">
        <v>179</v>
      </c>
      <c r="B220" s="484">
        <v>0.405</v>
      </c>
      <c r="C220" s="5" t="s">
        <v>11</v>
      </c>
      <c r="E220" s="2">
        <v>4</v>
      </c>
      <c r="F220" s="2" t="s">
        <v>28</v>
      </c>
      <c r="G220" s="140">
        <f t="shared" si="14"/>
        <v>0.0062372505172930606</v>
      </c>
      <c r="H220" s="5" t="s">
        <v>86</v>
      </c>
      <c r="I220" s="5" t="s">
        <v>91</v>
      </c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</row>
    <row r="221" spans="1:42" ht="13.5">
      <c r="A221" s="2" t="s">
        <v>180</v>
      </c>
      <c r="B221" s="484">
        <v>0.405</v>
      </c>
      <c r="C221" s="5" t="s">
        <v>11</v>
      </c>
      <c r="E221" s="2">
        <v>5</v>
      </c>
      <c r="F221" s="2" t="s">
        <v>51</v>
      </c>
      <c r="G221" s="140">
        <f t="shared" si="14"/>
        <v>0.05049410703905922</v>
      </c>
      <c r="H221" s="5" t="s">
        <v>87</v>
      </c>
      <c r="I221" s="5" t="s">
        <v>92</v>
      </c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</row>
    <row r="222" spans="1:42" ht="13.5">
      <c r="A222" s="2" t="s">
        <v>46</v>
      </c>
      <c r="B222" s="484">
        <v>15.69</v>
      </c>
      <c r="C222" s="5" t="s">
        <v>13</v>
      </c>
      <c r="E222" s="2">
        <v>6</v>
      </c>
      <c r="F222" s="2" t="s">
        <v>52</v>
      </c>
      <c r="G222" s="141">
        <f t="shared" si="14"/>
        <v>0.01910479403464167</v>
      </c>
      <c r="H222" s="5" t="s">
        <v>87</v>
      </c>
      <c r="I222" s="5" t="s">
        <v>92</v>
      </c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</row>
    <row r="223" spans="1:42" ht="13.5">
      <c r="A223" s="2" t="s">
        <v>47</v>
      </c>
      <c r="B223" s="484">
        <v>11.64</v>
      </c>
      <c r="C223" s="5" t="s">
        <v>13</v>
      </c>
      <c r="E223" s="2"/>
      <c r="P223"/>
      <c r="Q223"/>
      <c r="R223"/>
      <c r="S223"/>
      <c r="T223"/>
      <c r="U223"/>
      <c r="V223"/>
      <c r="W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</row>
    <row r="224" spans="1:42" ht="14.25" thickBot="1">
      <c r="A224" s="3" t="s">
        <v>3</v>
      </c>
      <c r="B224" s="492">
        <v>15</v>
      </c>
      <c r="C224" s="337" t="s">
        <v>552</v>
      </c>
      <c r="D224" s="5" t="s">
        <v>250</v>
      </c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</row>
    <row r="225" spans="16:42" ht="14.25" customHeight="1" thickTop="1">
      <c r="P225"/>
      <c r="Q225"/>
      <c r="R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</row>
    <row r="226" spans="1:42" ht="14.25" customHeight="1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</row>
    <row r="227" spans="1:42" ht="14.25" customHeight="1">
      <c r="A227" s="88" t="s">
        <v>178</v>
      </c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 s="99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</row>
    <row r="228" spans="1:42" ht="14.25" customHeight="1" thickBot="1">
      <c r="A228"/>
      <c r="B228"/>
      <c r="C228"/>
      <c r="D228"/>
      <c r="L228"/>
      <c r="M228"/>
      <c r="N228"/>
      <c r="O228"/>
      <c r="P228"/>
      <c r="Q228"/>
      <c r="R228"/>
      <c r="S228" s="99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</row>
    <row r="229" spans="1:44" ht="14.25" customHeight="1" thickTop="1">
      <c r="A229" s="2" t="s">
        <v>94</v>
      </c>
      <c r="B229" s="483">
        <v>4</v>
      </c>
      <c r="C229" t="s">
        <v>108</v>
      </c>
      <c r="D229"/>
      <c r="E229"/>
      <c r="F229"/>
      <c r="G229"/>
      <c r="L229"/>
      <c r="M229"/>
      <c r="N229"/>
      <c r="O229"/>
      <c r="P229"/>
      <c r="Q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</row>
    <row r="230" spans="1:42" ht="14.25" customHeight="1">
      <c r="A230" s="3" t="s">
        <v>104</v>
      </c>
      <c r="B230" s="484">
        <v>1.35</v>
      </c>
      <c r="C230" t="s">
        <v>106</v>
      </c>
      <c r="D230"/>
      <c r="E230"/>
      <c r="F230"/>
      <c r="L230"/>
      <c r="M230"/>
      <c r="N230"/>
      <c r="O230"/>
      <c r="P230"/>
      <c r="Q230"/>
      <c r="R230" s="138"/>
      <c r="S230"/>
      <c r="T230"/>
      <c r="U230"/>
      <c r="V230"/>
      <c r="AH230"/>
      <c r="AI230"/>
      <c r="AJ230"/>
      <c r="AK230"/>
      <c r="AL230"/>
      <c r="AM230"/>
      <c r="AN230"/>
      <c r="AO230"/>
      <c r="AP230"/>
    </row>
    <row r="231" spans="1:42" ht="14.25" customHeight="1">
      <c r="A231" s="3" t="s">
        <v>105</v>
      </c>
      <c r="B231" s="484">
        <v>1.5</v>
      </c>
      <c r="C231" t="s">
        <v>107</v>
      </c>
      <c r="D231"/>
      <c r="E231"/>
      <c r="F231"/>
      <c r="L231"/>
      <c r="M231"/>
      <c r="N231"/>
      <c r="O231"/>
      <c r="P231"/>
      <c r="Q231"/>
      <c r="S231"/>
      <c r="T231" s="29" t="s">
        <v>410</v>
      </c>
      <c r="U231"/>
      <c r="V231"/>
      <c r="W231"/>
      <c r="X231"/>
      <c r="Y231"/>
      <c r="Z231"/>
      <c r="AA231"/>
      <c r="AB231"/>
      <c r="AC231"/>
      <c r="AD231"/>
      <c r="AE231"/>
      <c r="AF231" s="135">
        <v>0</v>
      </c>
      <c r="AG231" s="351">
        <v>1</v>
      </c>
      <c r="AH231" s="352">
        <v>2</v>
      </c>
      <c r="AI231" s="352">
        <v>3</v>
      </c>
      <c r="AJ231" s="352">
        <v>4</v>
      </c>
      <c r="AK231" s="352">
        <v>5</v>
      </c>
      <c r="AL231" s="352">
        <v>6</v>
      </c>
      <c r="AM231" s="352">
        <v>7</v>
      </c>
      <c r="AN231" s="352">
        <v>8</v>
      </c>
      <c r="AO231" s="352">
        <v>9</v>
      </c>
      <c r="AP231" s="353">
        <v>10</v>
      </c>
    </row>
    <row r="232" spans="1:54" ht="14.25" customHeight="1" thickBot="1">
      <c r="A232" s="2" t="s">
        <v>144</v>
      </c>
      <c r="B232" s="486">
        <v>1</v>
      </c>
      <c r="C232" t="s">
        <v>112</v>
      </c>
      <c r="D232"/>
      <c r="E232"/>
      <c r="F232"/>
      <c r="H232"/>
      <c r="I232"/>
      <c r="J232"/>
      <c r="L232"/>
      <c r="M232"/>
      <c r="N232"/>
      <c r="O232"/>
      <c r="T232" s="349" t="s">
        <v>502</v>
      </c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</row>
    <row r="233" spans="1:54" ht="14.25" customHeight="1" thickTop="1">
      <c r="A233"/>
      <c r="B233"/>
      <c r="C233"/>
      <c r="D233"/>
      <c r="E233"/>
      <c r="F233"/>
      <c r="G233"/>
      <c r="H233"/>
      <c r="I233"/>
      <c r="J233"/>
      <c r="L233"/>
      <c r="M233"/>
      <c r="N233"/>
      <c r="O233"/>
      <c r="T233" s="29" t="s">
        <v>411</v>
      </c>
      <c r="AB233"/>
      <c r="AC233"/>
      <c r="AD233" s="15"/>
      <c r="AE233" s="15" t="s">
        <v>136</v>
      </c>
      <c r="AF233" s="15" t="s">
        <v>137</v>
      </c>
      <c r="AG233" s="15">
        <f>B244</f>
        <v>1</v>
      </c>
      <c r="AH233" s="15">
        <f aca="true" t="shared" si="15" ref="AH233:AN233">C244</f>
        <v>2</v>
      </c>
      <c r="AI233" s="15">
        <f t="shared" si="15"/>
        <v>3</v>
      </c>
      <c r="AJ233" s="15">
        <f t="shared" si="15"/>
        <v>4</v>
      </c>
      <c r="AK233" s="15">
        <f t="shared" si="15"/>
      </c>
      <c r="AL233" s="15">
        <f t="shared" si="15"/>
      </c>
      <c r="AM233" s="15">
        <f t="shared" si="15"/>
      </c>
      <c r="AN233" s="15">
        <f t="shared" si="15"/>
      </c>
      <c r="AO233" s="115"/>
      <c r="AP233" s="115"/>
      <c r="AQ233" s="115"/>
      <c r="AR233"/>
      <c r="AS233"/>
      <c r="AT233"/>
      <c r="AU233"/>
      <c r="AV233"/>
      <c r="AW233"/>
      <c r="AX233"/>
      <c r="AY233"/>
      <c r="AZ233"/>
      <c r="BA233"/>
      <c r="BB233"/>
    </row>
    <row r="234" spans="1:56" ht="14.25" customHeight="1">
      <c r="A234"/>
      <c r="B234"/>
      <c r="C234"/>
      <c r="D234"/>
      <c r="E234"/>
      <c r="F234"/>
      <c r="G234"/>
      <c r="H234"/>
      <c r="I234"/>
      <c r="J234"/>
      <c r="L234"/>
      <c r="M234"/>
      <c r="N234"/>
      <c r="O234"/>
      <c r="P234"/>
      <c r="Q234"/>
      <c r="S234" s="2" t="s">
        <v>505</v>
      </c>
      <c r="T234" s="349" t="s">
        <v>504</v>
      </c>
      <c r="U234"/>
      <c r="V234"/>
      <c r="W234"/>
      <c r="X234"/>
      <c r="Y234"/>
      <c r="Z234"/>
      <c r="AA234"/>
      <c r="AC234"/>
      <c r="AD234" s="115" t="s">
        <v>132</v>
      </c>
      <c r="AE234" s="15"/>
      <c r="AF234" s="11"/>
      <c r="AG234" s="112" t="s">
        <v>133</v>
      </c>
      <c r="AH234" s="112" t="s">
        <v>134</v>
      </c>
      <c r="AI234" s="112" t="s">
        <v>135</v>
      </c>
      <c r="AJ234" s="12"/>
      <c r="AK234" s="12"/>
      <c r="AL234" s="12"/>
      <c r="AM234" s="112"/>
      <c r="AN234" s="12" t="s">
        <v>139</v>
      </c>
      <c r="AO234" s="112" t="s">
        <v>140</v>
      </c>
      <c r="AP234" s="113" t="s">
        <v>141</v>
      </c>
      <c r="AQ234" s="113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</row>
    <row r="235" spans="1:56" ht="14.25" customHeight="1" thickBot="1">
      <c r="A235" s="2" t="s">
        <v>115</v>
      </c>
      <c r="B235" s="97">
        <v>1</v>
      </c>
      <c r="C235" s="97">
        <f aca="true" t="shared" si="16" ref="C235:H235">IF(C236=0,"",1+B235)</f>
        <v>2</v>
      </c>
      <c r="D235" s="97">
        <f t="shared" si="16"/>
        <v>3</v>
      </c>
      <c r="E235" s="97">
        <f t="shared" si="16"/>
      </c>
      <c r="F235" s="97">
        <f t="shared" si="16"/>
      </c>
      <c r="G235" s="97">
        <f t="shared" si="16"/>
      </c>
      <c r="H235" s="97">
        <f t="shared" si="16"/>
      </c>
      <c r="J235"/>
      <c r="K235"/>
      <c r="L235"/>
      <c r="M235"/>
      <c r="N235"/>
      <c r="O235"/>
      <c r="P235"/>
      <c r="Q235"/>
      <c r="R235"/>
      <c r="S235" s="2" t="s">
        <v>414</v>
      </c>
      <c r="T235" s="138" t="s">
        <v>415</v>
      </c>
      <c r="U235"/>
      <c r="V235"/>
      <c r="W235"/>
      <c r="X235"/>
      <c r="Y235"/>
      <c r="Z235"/>
      <c r="AA235"/>
      <c r="AC235" s="2" t="s">
        <v>127</v>
      </c>
      <c r="AD235" s="119">
        <v>1</v>
      </c>
      <c r="AE235" s="120">
        <v>0</v>
      </c>
      <c r="AF235" s="14">
        <f>AE235</f>
        <v>0</v>
      </c>
      <c r="AG235" s="114">
        <f>IF(AG$233="",AE235,fMkk3($AE235,$AD235,AG$233,$B$229,$B$236:$H$236,$B$247:$H$247,$B$249:$H$249,$B$250:$H250,$B$248:$H$248,$B$245:$H$245,$B$238:$H$238,$B$243:$H$243,$B$232,1))</f>
        <v>0</v>
      </c>
      <c r="AH235" s="114">
        <f>IF(AH$233="",AF235,fMkk3($AE235,$AD235,AH$233,$B$229,$B$236:$H$236,$B$247:$H$247,$B$249:$H$249,$B$250:$H250,$B$248:$H$248,$B$245:$H$245,$B$238:$H$238,$B$243:$H$243,$B$232,1))</f>
        <v>0</v>
      </c>
      <c r="AI235" s="114">
        <f>IF(AI$233="",AG235,fMkk3($AE235,$AD235,AI$233,$B$229,$B$236:$H$236,$B$247:$H$247,$B$249:$H$249,$B$250:$H250,$B$248:$H$248,$B$245:$H$245,$B$238:$H$238,$B$243:$H$243,$B$232,1))</f>
        <v>0</v>
      </c>
      <c r="AJ235" s="114">
        <f>IF(AJ$233="",AH235,fMkk3($AE235,$AD235,AJ$233,$B$229,$B$236:$H$236,$B$247:$H$247,$B$249:$H$249,$B$250:$H250,$B$248:$H$248,$B$245:$H$245,$B$238:$H$238,$B$243:$H$243,$B$232,1))</f>
        <v>0</v>
      </c>
      <c r="AK235" s="114">
        <f>IF(AK$233="",AI235,fMkk3($AE235,$AD235,AK$233,$B$229,$B$236:$H$236,$B$247:$H$247,$B$249:$H$249,$B$250:$H250,$B$248:$H$248,$B$245:$H$245,$B$238:$H$238,$B$243:$H$243,$B$232,1))</f>
        <v>0</v>
      </c>
      <c r="AL235" s="114">
        <f>IF(AL$233="",AJ235,fMkk3($AE235,$AD235,AL$233,$B$229,$B$236:$H$236,$B$247:$H$247,$B$249:$H$249,$B$250:$H250,$B$248:$H$248,$B$245:$H$245,$B$238:$H$238,$B$243:$H$243,$B$232,1))</f>
        <v>0</v>
      </c>
      <c r="AM235" s="114">
        <f>IF(AM$233="",AK235,fMkk3($AE235,$AD235,AM$233,$B$229,$B$236:$H$236,$B$247:$H$247,$B$249:$H$249,$B$250:$H250,$B$248:$H$248,$B$245:$H$245,$B$238:$H$238,$B$243:$H$243,$B$232,1))</f>
        <v>0</v>
      </c>
      <c r="AN235" s="15"/>
      <c r="AO235" s="115"/>
      <c r="AP235" s="116"/>
      <c r="AQ235" s="16"/>
      <c r="AR235" s="124">
        <f aca="true" t="shared" si="17" ref="AR235:AR241">MIN(AG235:AM235)</f>
        <v>0</v>
      </c>
      <c r="AS235"/>
      <c r="AT235"/>
      <c r="AU235"/>
      <c r="AV235"/>
      <c r="AW235"/>
      <c r="AX235"/>
      <c r="AY235"/>
      <c r="AZ235"/>
      <c r="BA235"/>
      <c r="BB235"/>
      <c r="BC235"/>
      <c r="BD235"/>
    </row>
    <row r="236" spans="1:56" ht="14.25" customHeight="1" thickTop="1">
      <c r="A236" s="2" t="s">
        <v>95</v>
      </c>
      <c r="B236" s="493">
        <v>5</v>
      </c>
      <c r="C236" s="494">
        <v>5</v>
      </c>
      <c r="D236" s="494">
        <v>6</v>
      </c>
      <c r="E236" s="494"/>
      <c r="F236" s="494"/>
      <c r="G236" s="494"/>
      <c r="H236" s="495"/>
      <c r="I236" t="s">
        <v>11</v>
      </c>
      <c r="J236" t="s">
        <v>99</v>
      </c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C236" s="2" t="s">
        <v>128</v>
      </c>
      <c r="AD236" s="15">
        <f>INDEX(B$236:H$236,1,AD235)</f>
        <v>5</v>
      </c>
      <c r="AE236" s="120">
        <f>MIN(AD239/2,AD238,2)</f>
        <v>0.2</v>
      </c>
      <c r="AF236" s="14">
        <f aca="true" t="shared" si="18" ref="AF236:AF241">AE236</f>
        <v>0.2</v>
      </c>
      <c r="AG236" s="114">
        <f>IF(AG$233="",AE236,fMkk3($AE236,$AD235,AG$233,$B$229,$B$236:$H$236,$B$247:$H$247,$B$249:$H$249,$B$250:$H251,$B$248:$H$248,$B$245:$H$245,$B$238:$H$238,$B$243:$H$243,$B$232,1))</f>
        <v>35.21811111111112</v>
      </c>
      <c r="AH236" s="114">
        <f>IF(AH$233="",AG236,fMkk3($AE236,$AD235,AH$233,$B$229,$B$236:$H$236,$B$247:$H$247,$B$249:$H$249,$B$250:$H251,$B$248:$H$248,$B$245:$H$245,$B$238:$H$238,$B$243:$H$243,$B$232,1))</f>
        <v>19.28892592592593</v>
      </c>
      <c r="AI236" s="114">
        <f>IF(AI$233="",AH236,fMkk3($AE236,$AD235,AI$233,$B$229,$B$236:$H$236,$B$247:$H$247,$B$249:$H$249,$B$250:$H251,$B$248:$H$248,$B$245:$H$245,$B$238:$H$238,$B$243:$H$243,$B$232,1))</f>
        <v>34.65207407407408</v>
      </c>
      <c r="AJ236" s="114">
        <f>IF(AJ$233="",AI236,fMkk3($AE236,$AD235,AJ$233,$B$229,$B$236:$H$236,$B$247:$H$247,$B$249:$H$249,$B$250:$H251,$B$248:$H$248,$B$245:$H$245,$B$238:$H$238,$B$243:$H$243,$B$232,1))</f>
        <v>19.288740740740742</v>
      </c>
      <c r="AK236" s="114">
        <f>IF(AK$233="",AJ236,fMkk3($AE236,$AD235,AK$233,$B$229,$B$236:$H$236,$B$247:$H$247,$B$249:$H$249,$B$250:$H251,$B$248:$H$248,$B$245:$H$245,$B$238:$H$238,$B$243:$H$243,$B$232,1))</f>
        <v>19.288740740740742</v>
      </c>
      <c r="AL236" s="114">
        <f>IF(AL$233="",AK236,fMkk3($AE236,$AD235,AL$233,$B$229,$B$236:$H$236,$B$247:$H$247,$B$249:$H$249,$B$250:$H251,$B$248:$H$248,$B$245:$H$245,$B$238:$H$238,$B$243:$H$243,$B$232,1))</f>
        <v>19.288740740740742</v>
      </c>
      <c r="AM236" s="121">
        <f>IF(AM$233="",AL236,fMkk3($AE236,$AD235,AM$233,$B$229,$B$236:$H$236,$B$247:$H$247,$B$249:$H$249,$B$250:$H251,$B$248:$H$248,$B$245:$H$245,$B$238:$H$238,$B$243:$H$243,$B$232,1))</f>
        <v>19.288740740740742</v>
      </c>
      <c r="AN236" s="15"/>
      <c r="AO236" s="115"/>
      <c r="AP236" s="116"/>
      <c r="AQ236" s="16"/>
      <c r="AR236" s="124">
        <f t="shared" si="17"/>
        <v>19.288740740740742</v>
      </c>
      <c r="AS236"/>
      <c r="AT236"/>
      <c r="AU236"/>
      <c r="AV236"/>
      <c r="AW236"/>
      <c r="AX236"/>
      <c r="AY236"/>
      <c r="AZ236"/>
      <c r="BA236"/>
      <c r="BB236"/>
      <c r="BC236"/>
      <c r="BD236"/>
    </row>
    <row r="237" spans="1:56" ht="12">
      <c r="A237" s="2" t="s">
        <v>0</v>
      </c>
      <c r="B237" s="496">
        <v>0.8</v>
      </c>
      <c r="C237" s="497">
        <v>0.8</v>
      </c>
      <c r="D237" s="497">
        <v>0.8</v>
      </c>
      <c r="E237" s="497"/>
      <c r="F237" s="497"/>
      <c r="G237" s="497"/>
      <c r="H237" s="498"/>
      <c r="I237" t="s">
        <v>11</v>
      </c>
      <c r="J237" t="s">
        <v>64</v>
      </c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C237" s="2" t="s">
        <v>129</v>
      </c>
      <c r="AD237" s="15">
        <f>INDEX(B$247:H$247,1,AD235)</f>
        <v>5.4</v>
      </c>
      <c r="AE237" s="120">
        <f>AD237/4</f>
        <v>1.35</v>
      </c>
      <c r="AF237" s="14">
        <f t="shared" si="18"/>
        <v>1.35</v>
      </c>
      <c r="AG237" s="114">
        <f>IF(AG$233="",AE237,fMkk3($AE237,$AD235,AG$233,$B$229,$B$236:$H$236,$B$247:$H$247,$B$249:$H$249,$B$250:$H251,$B$248:$H$248,$B$245:$H$245,$B$238:$H$238,$B$243:$H$243,$B$232,1))</f>
        <v>172.51725000000005</v>
      </c>
      <c r="AH237" s="114">
        <f>IF(AH$233="",AG237,fMkk3($AE237,$AD235,AH$233,$B$229,$B$236:$H$236,$B$247:$H$247,$B$249:$H$249,$B$250:$H251,$B$248:$H$248,$B$245:$H$245,$B$238:$H$238,$B$243:$H$243,$B$232,1))</f>
        <v>88.28275000000002</v>
      </c>
      <c r="AI237" s="114">
        <f>IF(AI$233="",AH237,fMkk3($AE237,$AD235,AI$233,$B$229,$B$236:$H$236,$B$247:$H$247,$B$249:$H$249,$B$250:$H251,$B$248:$H$248,$B$245:$H$245,$B$238:$H$238,$B$243:$H$243,$B$232,1))</f>
        <v>168.69650000000004</v>
      </c>
      <c r="AJ237" s="114">
        <f>IF(AJ$233="",AI237,fMkk3($AE237,$AD235,AJ$233,$B$229,$B$236:$H$236,$B$247:$H$247,$B$249:$H$249,$B$250:$H251,$B$248:$H$248,$B$245:$H$245,$B$238:$H$238,$B$243:$H$243,$B$232,1))</f>
        <v>88.28150000000002</v>
      </c>
      <c r="AK237" s="114">
        <f>IF(AK$233="",AJ237,fMkk3($AE237,$AD235,AK$233,$B$229,$B$236:$H$236,$B$247:$H$247,$B$249:$H$249,$B$250:$H251,$B$248:$H$248,$B$245:$H$245,$B$238:$H$238,$B$243:$H$243,$B$232,1))</f>
        <v>88.28150000000002</v>
      </c>
      <c r="AL237" s="114">
        <f>IF(AL$233="",AK237,fMkk3($AE237,$AD235,AL$233,$B$229,$B$236:$H$236,$B$247:$H$247,$B$249:$H$249,$B$250:$H251,$B$248:$H$248,$B$245:$H$245,$B$238:$H$238,$B$243:$H$243,$B$232,1))</f>
        <v>88.28150000000002</v>
      </c>
      <c r="AM237" s="121">
        <f>IF(AM$233="",AL237,fMkk3($AE237,$AD235,AM$233,$B$229,$B$236:$H$236,$B$247:$H$247,$B$249:$H$249,$B$250:$H251,$B$248:$H$248,$B$245:$H$245,$B$238:$H$238,$B$243:$H$243,$B$232,1))</f>
        <v>88.28150000000002</v>
      </c>
      <c r="AN237" s="15"/>
      <c r="AO237" s="115"/>
      <c r="AP237" s="116"/>
      <c r="AQ237" s="16"/>
      <c r="AR237" s="124">
        <f t="shared" si="17"/>
        <v>88.28150000000002</v>
      </c>
      <c r="AS237"/>
      <c r="AT237"/>
      <c r="AU237"/>
      <c r="AV237"/>
      <c r="AW237"/>
      <c r="AX237"/>
      <c r="AY237"/>
      <c r="AZ237"/>
      <c r="BA237"/>
      <c r="BB237"/>
      <c r="BC237"/>
      <c r="BD237"/>
    </row>
    <row r="238" spans="1:56" ht="12">
      <c r="A238" s="2" t="s">
        <v>25</v>
      </c>
      <c r="B238" s="496">
        <v>0.7</v>
      </c>
      <c r="C238" s="497">
        <v>0.7</v>
      </c>
      <c r="D238" s="497">
        <v>0.7</v>
      </c>
      <c r="E238" s="497"/>
      <c r="F238" s="497"/>
      <c r="G238" s="497"/>
      <c r="H238" s="498"/>
      <c r="I238" t="s">
        <v>11</v>
      </c>
      <c r="J238" t="s">
        <v>77</v>
      </c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C238" s="2" t="s">
        <v>25</v>
      </c>
      <c r="AD238" s="15">
        <f>INDEX(B$238:H$238,1,AD235)</f>
        <v>0.7</v>
      </c>
      <c r="AE238" s="120">
        <f>AD237/2</f>
        <v>2.7</v>
      </c>
      <c r="AF238" s="14">
        <f t="shared" si="18"/>
        <v>2.7</v>
      </c>
      <c r="AG238" s="114">
        <f>IF(AG$233="",AE238,fMkk3($AE238,$AD235,AG$233,$B$229,$B$236:$H$236,$B$247:$H$247,$B$249:$H$249,$B$250:$H251,$B$248:$H$248,$B$245:$H$245,$B$238:$H$238,$B$243:$H$243,$B$232,1))</f>
        <v>191.94450000000006</v>
      </c>
      <c r="AH238" s="114">
        <f>IF(AH$233="",AG238,fMkk3($AE238,$AD235,AH$233,$B$229,$B$236:$H$236,$B$247:$H$247,$B$249:$H$249,$B$250:$H251,$B$248:$H$248,$B$245:$H$245,$B$238:$H$238,$B$243:$H$243,$B$232,1))</f>
        <v>78.15050000000004</v>
      </c>
      <c r="AI238" s="114">
        <f>IF(AI$233="",AH238,fMkk3($AE238,$AD235,AI$233,$B$229,$B$236:$H$236,$B$247:$H$247,$B$249:$H$249,$B$250:$H251,$B$248:$H$248,$B$245:$H$245,$B$238:$H$238,$B$243:$H$243,$B$232,1))</f>
        <v>184.30300000000005</v>
      </c>
      <c r="AJ238" s="114">
        <f>IF(AJ$233="",AI238,fMkk3($AE238,$AD235,AJ$233,$B$229,$B$236:$H$236,$B$247:$H$247,$B$249:$H$249,$B$250:$H251,$B$248:$H$248,$B$245:$H$245,$B$238:$H$238,$B$243:$H$243,$B$232,1))</f>
        <v>78.14800000000004</v>
      </c>
      <c r="AK238" s="114">
        <f>IF(AK$233="",AJ238,fMkk3($AE238,$AD235,AK$233,$B$229,$B$236:$H$236,$B$247:$H$247,$B$249:$H$249,$B$250:$H251,$B$248:$H$248,$B$245:$H$245,$B$238:$H$238,$B$243:$H$243,$B$232,1))</f>
        <v>78.14800000000004</v>
      </c>
      <c r="AL238" s="114">
        <f>IF(AL$233="",AK238,fMkk3($AE238,$AD235,AL$233,$B$229,$B$236:$H$236,$B$247:$H$247,$B$249:$H$249,$B$250:$H251,$B$248:$H$248,$B$245:$H$245,$B$238:$H$238,$B$243:$H$243,$B$232,1))</f>
        <v>78.14800000000004</v>
      </c>
      <c r="AM238" s="121">
        <f>IF(AM$233="",AL238,fMkk3($AE238,$AD235,AM$233,$B$229,$B$236:$H$236,$B$247:$H$247,$B$249:$H$249,$B$250:$H251,$B$248:$H$248,$B$245:$H$245,$B$238:$H$238,$B$243:$H$243,$B$232,1))</f>
        <v>78.14800000000004</v>
      </c>
      <c r="AN238" s="15"/>
      <c r="AO238" s="115"/>
      <c r="AP238" s="116"/>
      <c r="AQ238" s="16"/>
      <c r="AR238" s="124">
        <f t="shared" si="17"/>
        <v>78.14800000000004</v>
      </c>
      <c r="AS238"/>
      <c r="AT238"/>
      <c r="AU238"/>
      <c r="AV238"/>
      <c r="AW238"/>
      <c r="AX238"/>
      <c r="AY238"/>
      <c r="AZ238"/>
      <c r="BA238"/>
      <c r="BB238"/>
      <c r="BC238"/>
      <c r="BD238"/>
    </row>
    <row r="239" spans="1:52" ht="13.5">
      <c r="A239" s="2" t="s">
        <v>40</v>
      </c>
      <c r="B239" s="496">
        <v>0.3</v>
      </c>
      <c r="C239" s="497">
        <v>0.3</v>
      </c>
      <c r="D239" s="497">
        <v>0.3</v>
      </c>
      <c r="E239" s="497"/>
      <c r="F239" s="497"/>
      <c r="G239" s="497"/>
      <c r="H239" s="498"/>
      <c r="I239" t="s">
        <v>11</v>
      </c>
      <c r="J239" t="s">
        <v>65</v>
      </c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C239" s="2" t="s">
        <v>130</v>
      </c>
      <c r="AD239" s="15">
        <f>INDEX(B$245:H$245,1,AD235)</f>
        <v>0.4</v>
      </c>
      <c r="AE239" s="120">
        <f>AD237*0.75</f>
        <v>4.050000000000001</v>
      </c>
      <c r="AF239" s="14">
        <f t="shared" si="18"/>
        <v>4.050000000000001</v>
      </c>
      <c r="AG239" s="114">
        <f>IF(AG$233="",AE239,fMkk3($AE239,$AD235,AG$233,$B$229,$B$236:$H$236,$B$247:$H$247,$B$249:$H$249,$B$250:$H252,$B$248:$H$248,$B$245:$H$245,$B$238:$H$238,$B$243:$H$243,$B$232,1))</f>
        <v>58.28174999999993</v>
      </c>
      <c r="AH239" s="114">
        <f>IF(AH$233="",AG239,fMkk3($AE239,$AD235,AH$233,$B$229,$B$236:$H$236,$B$247:$H$247,$B$249:$H$249,$B$250:$H252,$B$248:$H$248,$B$245:$H$245,$B$238:$H$238,$B$243:$H$243,$B$232,1))</f>
        <v>-30.396750000000026</v>
      </c>
      <c r="AI239" s="114">
        <f>IF(AI$233="",AH239,fMkk3($AE239,$AD235,AI$233,$B$229,$B$236:$H$236,$B$247:$H$247,$B$249:$H$249,$B$250:$H252,$B$248:$H$248,$B$245:$H$245,$B$238:$H$238,$B$243:$H$243,$B$232,1))</f>
        <v>46.81949999999992</v>
      </c>
      <c r="AJ239" s="114">
        <f>IF(AJ$233="",AI239,fMkk3($AE239,$AD235,AJ$233,$B$229,$B$236:$H$236,$B$247:$H$247,$B$249:$H$249,$B$250:$H252,$B$248:$H$248,$B$245:$H$245,$B$238:$H$238,$B$243:$H$243,$B$232,1))</f>
        <v>-30.400500000000022</v>
      </c>
      <c r="AK239" s="114">
        <f>IF(AK$233="",AJ239,fMkk3($AE239,$AD235,AK$233,$B$229,$B$236:$H$236,$B$247:$H$247,$B$249:$H$249,$B$250:$H252,$B$248:$H$248,$B$245:$H$245,$B$238:$H$238,$B$243:$H$243,$B$232,1))</f>
        <v>-30.400500000000022</v>
      </c>
      <c r="AL239" s="114">
        <f>IF(AL$233="",AK239,fMkk3($AE239,$AD235,AL$233,$B$229,$B$236:$H$236,$B$247:$H$247,$B$249:$H$249,$B$250:$H252,$B$248:$H$248,$B$245:$H$245,$B$238:$H$238,$B$243:$H$243,$B$232,1))</f>
        <v>-30.400500000000022</v>
      </c>
      <c r="AM239" s="121">
        <f>IF(AM$233="",AL239,fMkk3($AE239,$AD235,AM$233,$B$229,$B$236:$H$236,$B$247:$H$247,$B$249:$H$249,$B$250:$H252,$B$248:$H$248,$B$245:$H$245,$B$238:$H$238,$B$243:$H$243,$B$232,1))</f>
        <v>-30.400500000000022</v>
      </c>
      <c r="AN239" s="15"/>
      <c r="AO239" s="115"/>
      <c r="AP239" s="116"/>
      <c r="AQ239" s="16"/>
      <c r="AR239" s="124">
        <f t="shared" si="17"/>
        <v>-30.400500000000022</v>
      </c>
      <c r="AS239"/>
      <c r="AT239"/>
      <c r="AU239"/>
      <c r="AV239"/>
      <c r="AW239"/>
      <c r="AX239"/>
      <c r="AY239"/>
      <c r="AZ239"/>
    </row>
    <row r="240" spans="1:56" ht="13.5">
      <c r="A240" s="2" t="s">
        <v>41</v>
      </c>
      <c r="B240" s="496">
        <v>0.16</v>
      </c>
      <c r="C240" s="497">
        <v>0.16</v>
      </c>
      <c r="D240" s="497">
        <v>0.16</v>
      </c>
      <c r="E240" s="497"/>
      <c r="F240" s="497"/>
      <c r="G240" s="497"/>
      <c r="H240" s="498"/>
      <c r="I240" t="s">
        <v>11</v>
      </c>
      <c r="J240" t="s">
        <v>66</v>
      </c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C240" s="2" t="s">
        <v>131</v>
      </c>
      <c r="AD240" s="15">
        <f>INDEX(B$245:H$245,1,AD235+1)</f>
        <v>0.4</v>
      </c>
      <c r="AE240" s="120">
        <f>AD237-MIN(AD238/2,AD240/2)</f>
        <v>5.2</v>
      </c>
      <c r="AF240" s="14">
        <f t="shared" si="18"/>
        <v>5.2</v>
      </c>
      <c r="AG240" s="114">
        <f>IF(AG$233="",AE240,fMkk3($AE240,$AD235,AG$233,$B$229,$B$236:$H$236,$B$247:$H$247,$B$249:$H$249,$B$250:$H253,$B$248:$H$248,$B$245:$H$245,$B$238:$H$238,$B$243:$H$243,$B$232,1))</f>
        <v>-176.32911111111108</v>
      </c>
      <c r="AH240" s="114">
        <f>IF(AH$233="",AG240,fMkk3($AE240,$AD235,AH$233,$B$229,$B$236:$H$236,$B$247:$H$247,$B$249:$H$249,$B$250:$H253,$B$248:$H$248,$B$245:$H$245,$B$238:$H$238,$B$243:$H$243,$B$232,1))</f>
        <v>-200.48792592592588</v>
      </c>
      <c r="AI240" s="114">
        <f>IF(AI$233="",AH240,fMkk3($AE240,$AD235,AI$233,$B$229,$B$236:$H$236,$B$247:$H$247,$B$249:$H$249,$B$250:$H253,$B$248:$H$248,$B$245:$H$245,$B$238:$H$238,$B$243:$H$243,$B$232,1))</f>
        <v>-191.04607407407406</v>
      </c>
      <c r="AJ240" s="114">
        <f>IF(AJ$233="",AI240,fMkk3($AE240,$AD235,AJ$233,$B$229,$B$236:$H$236,$B$247:$H$247,$B$249:$H$249,$B$250:$H253,$B$248:$H$248,$B$245:$H$245,$B$238:$H$238,$B$243:$H$243,$B$232,1))</f>
        <v>-200.49274074074071</v>
      </c>
      <c r="AK240" s="114">
        <f>IF(AK$233="",AJ240,fMkk3($AE240,$AD235,AK$233,$B$229,$B$236:$H$236,$B$247:$H$247,$B$249:$H$249,$B$250:$H253,$B$248:$H$248,$B$245:$H$245,$B$238:$H$238,$B$243:$H$243,$B$232,1))</f>
        <v>-200.49274074074071</v>
      </c>
      <c r="AL240" s="114">
        <f>IF(AL$233="",AK240,fMkk3($AE240,$AD235,AL$233,$B$229,$B$236:$H$236,$B$247:$H$247,$B$249:$H$249,$B$250:$H253,$B$248:$H$248,$B$245:$H$245,$B$238:$H$238,$B$243:$H$243,$B$232,1))</f>
        <v>-200.49274074074071</v>
      </c>
      <c r="AM240" s="121">
        <f>IF(AM$233="",AL240,fMkk3($AE240,$AD235,AM$233,$B$229,$B$236:$H$236,$B$247:$H$247,$B$249:$H$249,$B$250:$H253,$B$248:$H$248,$B$245:$H$245,$B$238:$H$238,$B$243:$H$243,$B$232,1))</f>
        <v>-200.49274074074071</v>
      </c>
      <c r="AN240" s="15"/>
      <c r="AO240" s="115"/>
      <c r="AP240" s="116"/>
      <c r="AQ240" s="16"/>
      <c r="AR240" s="124">
        <f t="shared" si="17"/>
        <v>-200.49274074074071</v>
      </c>
      <c r="AS240"/>
      <c r="AT240"/>
      <c r="AU240"/>
      <c r="AV240"/>
      <c r="AW240"/>
      <c r="AX240"/>
      <c r="AY240"/>
      <c r="AZ240"/>
      <c r="BA240"/>
      <c r="BB240"/>
      <c r="BC240"/>
      <c r="BD240"/>
    </row>
    <row r="241" spans="1:56" ht="12">
      <c r="A241" s="2" t="s">
        <v>18</v>
      </c>
      <c r="B241" s="496">
        <v>40</v>
      </c>
      <c r="C241" s="497">
        <v>40</v>
      </c>
      <c r="D241" s="497">
        <v>40</v>
      </c>
      <c r="E241" s="497"/>
      <c r="F241" s="497"/>
      <c r="G241" s="497"/>
      <c r="H241" s="498"/>
      <c r="I241" t="s">
        <v>98</v>
      </c>
      <c r="J241" t="s">
        <v>100</v>
      </c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C241" s="2" t="s">
        <v>138</v>
      </c>
      <c r="AD241" s="15">
        <v>1</v>
      </c>
      <c r="AE241" s="120">
        <f>AD237</f>
        <v>5.4</v>
      </c>
      <c r="AF241" s="14">
        <f t="shared" si="18"/>
        <v>5.4</v>
      </c>
      <c r="AG241" s="114">
        <f>IF(AG$233="",AE241,fMkk3($AE241,$AD235,AG$233,$B$229,$B$236:$H$236,$B$247:$H$247,$B$249:$H$249,$B$250:$H254,$B$248:$H$248,$B$245:$H$245,$B$238:$H$238,$B$243:$H$243,$B$232,1))</f>
        <v>-228.471</v>
      </c>
      <c r="AH241" s="114">
        <f>IF(AH$233="",AG241,fMkk3($AE241,$AD235,AH$233,$B$229,$B$236:$H$236,$B$247:$H$247,$B$249:$H$249,$B$250:$H254,$B$248:$H$248,$B$245:$H$245,$B$238:$H$238,$B$243:$H$243,$B$232,1))</f>
        <v>-237.359</v>
      </c>
      <c r="AI241" s="114">
        <f>IF(AI$233="",AH241,fMkk3($AE241,$AD235,AI$233,$B$229,$B$236:$H$236,$B$247:$H$247,$B$249:$H$249,$B$250:$H254,$B$248:$H$248,$B$245:$H$245,$B$238:$H$238,$B$243:$H$243,$B$232,1))</f>
        <v>-243.75400000000002</v>
      </c>
      <c r="AJ241" s="114">
        <f>IF(AJ$233="",AI241,fMkk3($AE241,$AD235,AJ$233,$B$229,$B$236:$H$236,$B$247:$H$247,$B$249:$H$249,$B$250:$H254,$B$248:$H$248,$B$245:$H$245,$B$238:$H$238,$B$243:$H$243,$B$232,1))</f>
        <v>-237.364</v>
      </c>
      <c r="AK241" s="114">
        <f>IF(AK$233="",AJ241,fMkk3($AE241,$AD235,AK$233,$B$229,$B$236:$H$236,$B$247:$H$247,$B$249:$H$249,$B$250:$H254,$B$248:$H$248,$B$245:$H$245,$B$238:$H$238,$B$243:$H$243,$B$232,1))</f>
        <v>-237.364</v>
      </c>
      <c r="AL241" s="114">
        <f>IF(AL$233="",AK241,fMkk3($AE241,$AD235,AL$233,$B$229,$B$236:$H$236,$B$247:$H$247,$B$249:$H$249,$B$250:$H254,$B$248:$H$248,$B$245:$H$245,$B$238:$H$238,$B$243:$H$243,$B$232,1))</f>
        <v>-237.364</v>
      </c>
      <c r="AM241" s="121">
        <f>IF(AM$233="",AL241,fMkk3($AE241,$AD235,AM$233,$B$229,$B$236:$H$236,$B$247:$H$247,$B$249:$H$249,$B$250:$H254,$B$248:$H$248,$B$245:$H$245,$B$238:$H$238,$B$243:$H$243,$B$232,1))</f>
        <v>-237.364</v>
      </c>
      <c r="AN241" s="15"/>
      <c r="AO241" s="115"/>
      <c r="AP241" s="116"/>
      <c r="AQ241" s="16"/>
      <c r="AR241" s="124">
        <f t="shared" si="17"/>
        <v>-243.75400000000002</v>
      </c>
      <c r="AS241"/>
      <c r="AT241"/>
      <c r="AU241"/>
      <c r="AV241"/>
      <c r="AW241"/>
      <c r="AX241"/>
      <c r="AY241"/>
      <c r="AZ241"/>
      <c r="BA241"/>
      <c r="BB241"/>
      <c r="BC241"/>
      <c r="BD241"/>
    </row>
    <row r="242" spans="1:56" ht="12">
      <c r="A242" s="2" t="s">
        <v>93</v>
      </c>
      <c r="B242" s="496">
        <v>20</v>
      </c>
      <c r="C242" s="497">
        <f>B242</f>
        <v>20</v>
      </c>
      <c r="D242" s="497">
        <f>C242</f>
        <v>20</v>
      </c>
      <c r="E242" s="497"/>
      <c r="F242" s="497"/>
      <c r="G242" s="497"/>
      <c r="H242" s="498"/>
      <c r="I242" t="s">
        <v>98</v>
      </c>
      <c r="J242" t="s">
        <v>101</v>
      </c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D242" s="15"/>
      <c r="AE242" s="122"/>
      <c r="AF242" s="14"/>
      <c r="AG242" s="15"/>
      <c r="AH242" s="15"/>
      <c r="AI242" s="15"/>
      <c r="AJ242" s="115">
        <f>IF(A261="","",fMkk2(AG$233,$B$229,$B$236:$H$236,$B$247:$H$247,$B$249:$H$249,$B$250:$H255,$B$248:$H$248,$B$245:$H$245,$B$238:$H$238,$B250:$H250,$B$232,1))</f>
      </c>
      <c r="AK242" s="115">
        <f>IF(B261="","",fMkk2(AH$233,$B$229,$B$236:$H$236,$B$247:$H$247,$B$249:$H$249,$B$250:$H255,$B$248:$H$248,$B$245:$H$245,$B$238:$H$238,$B250:$H250,$B$232,1))</f>
      </c>
      <c r="AL242" s="115">
        <f>IF(C261="","",fMkk2(AI$233,$B$229,$B$236:$H$236,$B$247:$H$247,$B$249:$H$249,$B$250:$H255,$B$248:$H$248,$B$245:$H$245,$B$238:$H$238,$B250:$H250,$B$232,1))</f>
      </c>
      <c r="AM242" s="115"/>
      <c r="AN242" s="115"/>
      <c r="AO242" s="115"/>
      <c r="AP242" s="116"/>
      <c r="AQ242" s="16"/>
      <c r="AR242" s="115"/>
      <c r="AS242"/>
      <c r="AT242"/>
      <c r="AU242"/>
      <c r="AV242"/>
      <c r="AW242"/>
      <c r="AX242"/>
      <c r="AY242"/>
      <c r="AZ242"/>
      <c r="BA242"/>
      <c r="BB242"/>
      <c r="BC242"/>
      <c r="BD242"/>
    </row>
    <row r="243" spans="1:56" ht="14.25" thickBot="1">
      <c r="A243" s="2" t="s">
        <v>109</v>
      </c>
      <c r="B243" s="95"/>
      <c r="C243" s="499">
        <v>-200</v>
      </c>
      <c r="D243" s="499">
        <v>-200</v>
      </c>
      <c r="E243" s="499"/>
      <c r="F243" s="499"/>
      <c r="G243" s="499"/>
      <c r="H243" s="500"/>
      <c r="I243" s="5" t="s">
        <v>12</v>
      </c>
      <c r="J243" s="91" t="s">
        <v>110</v>
      </c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C243" s="2" t="s">
        <v>127</v>
      </c>
      <c r="AD243" s="119">
        <f>IF(AD235&gt;=$B$229-1,AD235,AD235+1)</f>
        <v>2</v>
      </c>
      <c r="AE243" s="120">
        <v>0</v>
      </c>
      <c r="AF243" s="14">
        <f>IF(AD249&gt;$B$229-1,AF235,AE243+AF241)</f>
        <v>5.4</v>
      </c>
      <c r="AG243" s="114">
        <f>IF(AG$233="",AE243,fMkk3($AE243,$AD243,AG$233,$B$229,$B$236:$H$236,$B$247:$H$247,$B$249:$H$249,$B$250:$H256,$B$248:$H$248,$B$245:$H$245,$B$238:$H$238,$B$243:$H$243,$B$232,1))</f>
        <v>-228.471</v>
      </c>
      <c r="AH243" s="114">
        <f>IF(AH$233="",AF243,fMkk3($AE243,$AD243,AH$233,$B$229,$B$236:$H$236,$B$247:$H$247,$B$249:$H$249,$B$250:$H256,$B$248:$H$248,$B$245:$H$245,$B$238:$H$238,$B$243:$H$243,$B$232,1))</f>
        <v>-237.359</v>
      </c>
      <c r="AI243" s="114">
        <f>IF(AI$233="",AG243,fMkk3($AE243,$AD243,AI$233,$B$229,$B$236:$H$236,$B$247:$H$247,$B$249:$H$249,$B$250:$H256,$B$248:$H$248,$B$245:$H$245,$B$238:$H$238,$B$243:$H$243,$B$232,1))</f>
        <v>-243.75400000000002</v>
      </c>
      <c r="AJ243" s="114">
        <f>IF(AJ$233="",AH243,fMkk3($AE243,$AD243,AJ$233,$B$229,$B$236:$H$236,$B$247:$H$247,$B$249:$H$249,$B$250:$H256,$B$248:$H$248,$B$245:$H$245,$B$238:$H$238,$B$243:$H$243,$B$232,1))</f>
        <v>-237.364</v>
      </c>
      <c r="AK243" s="114">
        <f>IF(AK$233="",AI243,fMkk3($AE243,$AD243,AK$233,$B$229,$B$236:$H$236,$B$247:$H$247,$B$249:$H$249,$B$250:$H256,$B$248:$H$248,$B$245:$H$245,$B$238:$H$238,$B$243:$H$243,$B$232,1))</f>
        <v>-243.75400000000002</v>
      </c>
      <c r="AL243" s="114">
        <f>IF(AL$233="",AJ243,fMkk3($AE243,$AD243,AL$233,$B$229,$B$236:$H$236,$B$247:$H$247,$B$249:$H$249,$B$250:$H256,$B$248:$H$248,$B$245:$H$245,$B$238:$H$238,$B$243:$H$243,$B$232,1))</f>
        <v>-237.364</v>
      </c>
      <c r="AM243" s="114">
        <f>IF(AM$233="",AK243,fMkk3($AE243,$AD243,AM$233,$B$229,$B$236:$H$236,$B$247:$H$247,$B$249:$H$249,$B$250:$H256,$B$248:$H$248,$B$245:$H$245,$B$238:$H$238,$B$243:$H$243,$B$232,1))</f>
        <v>-243.75400000000002</v>
      </c>
      <c r="AN243" s="115"/>
      <c r="AO243" s="115"/>
      <c r="AP243" s="116"/>
      <c r="AQ243" s="16"/>
      <c r="AR243" s="124">
        <f aca="true" t="shared" si="19" ref="AR243:AR249">MIN(AG243:AM243)</f>
        <v>-243.75400000000002</v>
      </c>
      <c r="AS243"/>
      <c r="AT243"/>
      <c r="AU243"/>
      <c r="AV243"/>
      <c r="AW243"/>
      <c r="AX243"/>
      <c r="AY243"/>
      <c r="AZ243"/>
      <c r="BA243"/>
      <c r="BB243"/>
      <c r="BC243"/>
      <c r="BD243"/>
    </row>
    <row r="244" spans="1:56" ht="13.5" thickBot="1" thickTop="1">
      <c r="A244" s="2" t="s">
        <v>116</v>
      </c>
      <c r="B244" s="98">
        <v>1</v>
      </c>
      <c r="C244" s="98">
        <f>IF(B235="","",1+B235)</f>
        <v>2</v>
      </c>
      <c r="D244" s="98">
        <f aca="true" t="shared" si="20" ref="D244:I244">IF(C235="","",1+C235)</f>
        <v>3</v>
      </c>
      <c r="E244" s="98">
        <f t="shared" si="20"/>
        <v>4</v>
      </c>
      <c r="F244" s="98">
        <f t="shared" si="20"/>
      </c>
      <c r="G244" s="98">
        <f t="shared" si="20"/>
      </c>
      <c r="H244" s="98">
        <f t="shared" si="20"/>
      </c>
      <c r="I244" s="98">
        <f t="shared" si="20"/>
      </c>
      <c r="P244"/>
      <c r="Q244"/>
      <c r="R244"/>
      <c r="S244"/>
      <c r="T244"/>
      <c r="U244"/>
      <c r="V244"/>
      <c r="W244"/>
      <c r="X244"/>
      <c r="Y244"/>
      <c r="Z244"/>
      <c r="AA244"/>
      <c r="AC244" s="2" t="s">
        <v>128</v>
      </c>
      <c r="AD244" s="15">
        <f>INDEX(B$236:H$236,1,AD243)</f>
        <v>5</v>
      </c>
      <c r="AE244" s="120">
        <f>MIN(AD247/2,AD246,2)</f>
        <v>0.2</v>
      </c>
      <c r="AF244" s="14">
        <f>IF(AD249&gt;$B$229-1,AF236,AE244+AF241)</f>
        <v>5.6000000000000005</v>
      </c>
      <c r="AG244" s="114">
        <f>IF(AG$233="",AE244,fMkk3($AE244,$AD243,AG$233,$B$229,$B$236:$H$236,$B$247:$H$247,$B$249:$H$249,$B$250:$H257,$B$248:$H$248,$B$245:$H$245,$B$238:$H$238,$B$243:$H$243,$B$232,1))</f>
        <v>-200.35825925925928</v>
      </c>
      <c r="AH244" s="114">
        <f>IF(AH$233="",AG244,fMkk3($AE244,$AD243,AH$233,$B$229,$B$236:$H$236,$B$247:$H$247,$B$249:$H$249,$B$250:$H257,$B$248:$H$248,$B$245:$H$245,$B$238:$H$238,$B$243:$H$243,$B$232,1))</f>
        <v>-193.8175925925926</v>
      </c>
      <c r="AI244" s="114">
        <f>IF(AI$233="",AH244,fMkk3($AE244,$AD243,AI$233,$B$229,$B$236:$H$236,$B$247:$H$247,$B$249:$H$249,$B$250:$H257,$B$248:$H$248,$B$245:$H$245,$B$238:$H$238,$B$243:$H$243,$B$232,1))</f>
        <v>-199.97670370370375</v>
      </c>
      <c r="AJ244" s="114">
        <f>IF(AJ$233="",AI244,fMkk3($AE244,$AD243,AJ$233,$B$229,$B$236:$H$236,$B$247:$H$247,$B$249:$H$249,$B$250:$H257,$B$248:$H$248,$B$245:$H$245,$B$238:$H$238,$B$243:$H$243,$B$232,1))</f>
        <v>-193.89596296296298</v>
      </c>
      <c r="AK244" s="114">
        <f>IF(AK$233="",AJ244,fMkk3($AE244,$AD243,AK$233,$B$229,$B$236:$H$236,$B$247:$H$247,$B$249:$H$249,$B$250:$H257,$B$248:$H$248,$B$245:$H$245,$B$238:$H$238,$B$243:$H$243,$B$232,1))</f>
        <v>-193.89596296296298</v>
      </c>
      <c r="AL244" s="114">
        <f>IF(AL$233="",AK244,fMkk3($AE244,$AD243,AL$233,$B$229,$B$236:$H$236,$B$247:$H$247,$B$249:$H$249,$B$250:$H257,$B$248:$H$248,$B$245:$H$245,$B$238:$H$238,$B$243:$H$243,$B$232,1))</f>
        <v>-193.89596296296298</v>
      </c>
      <c r="AM244" s="121">
        <f>IF(AM$233="",AL244,fMkk3($AE244,$AD243,AM$233,$B$229,$B$236:$H$236,$B$247:$H$247,$B$249:$H$249,$B$250:$H257,$B$248:$H$248,$B$245:$H$245,$B$238:$H$238,$B$243:$H$243,$B$232,1))</f>
        <v>-193.89596296296298</v>
      </c>
      <c r="AN244" s="115"/>
      <c r="AO244" s="115"/>
      <c r="AP244" s="116"/>
      <c r="AQ244" s="16"/>
      <c r="AR244" s="124">
        <f t="shared" si="19"/>
        <v>-200.35825925925928</v>
      </c>
      <c r="AS244"/>
      <c r="AT244"/>
      <c r="AU244"/>
      <c r="AV244"/>
      <c r="AW244"/>
      <c r="AX244"/>
      <c r="AY244"/>
      <c r="AZ244"/>
      <c r="BA244"/>
      <c r="BB244"/>
      <c r="BC244"/>
      <c r="BD244"/>
    </row>
    <row r="245" spans="1:56" ht="15" thickBot="1" thickTop="1">
      <c r="A245" s="2" t="s">
        <v>96</v>
      </c>
      <c r="B245" s="501">
        <v>0.4</v>
      </c>
      <c r="C245" s="502">
        <v>0.4</v>
      </c>
      <c r="D245" s="502">
        <v>0.4</v>
      </c>
      <c r="E245" s="502">
        <v>0.4</v>
      </c>
      <c r="F245" s="502"/>
      <c r="G245" s="502"/>
      <c r="H245" s="502"/>
      <c r="I245" s="503"/>
      <c r="J245" t="s">
        <v>11</v>
      </c>
      <c r="K245" t="s">
        <v>111</v>
      </c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C245" s="2" t="s">
        <v>129</v>
      </c>
      <c r="AD245" s="15">
        <f>INDEX(B$247:H$247,1,AD243)</f>
        <v>5.4</v>
      </c>
      <c r="AE245" s="120">
        <f>AD245/4</f>
        <v>1.35</v>
      </c>
      <c r="AF245" s="14">
        <f>IF(AD249&gt;$B$229-1,AF237,AE245+AF241)</f>
        <v>6.75</v>
      </c>
      <c r="AG245" s="114">
        <f>IF(AG$233="",AE245,fMkk3($AE245,$AD243,AG$233,$B$229,$B$236:$H$236,$B$247:$H$247,$B$249:$H$249,$B$250:$H258,$B$248:$H$248,$B$245:$H$245,$B$238:$H$238,$B$243:$H$243,$B$232,1))</f>
        <v>-80.62749999999997</v>
      </c>
      <c r="AH245" s="114">
        <f>IF(AH$233="",AG245,fMkk3($AE245,$AD243,AH$233,$B$229,$B$236:$H$236,$B$247:$H$247,$B$249:$H$249,$B$250:$H258,$B$248:$H$248,$B$245:$H$245,$B$238:$H$238,$B$243:$H$243,$B$232,1))</f>
        <v>-8.659499999999952</v>
      </c>
      <c r="AI245" s="114">
        <f>IF(AI$233="",AH245,fMkk3($AE245,$AD243,AI$233,$B$229,$B$236:$H$236,$B$247:$H$247,$B$249:$H$249,$B$250:$H258,$B$248:$H$248,$B$245:$H$245,$B$238:$H$238,$B$243:$H$243,$B$232,1))</f>
        <v>-13.462249999999969</v>
      </c>
      <c r="AJ245" s="114">
        <f>IF(AJ$233="",AI245,fMkk3($AE245,$AD243,AJ$233,$B$229,$B$236:$H$236,$B$247:$H$247,$B$249:$H$249,$B$250:$H258,$B$248:$H$248,$B$245:$H$245,$B$238:$H$238,$B$243:$H$243,$B$232,1))</f>
        <v>-9.159749999999953</v>
      </c>
      <c r="AK245" s="114">
        <f>IF(AK$233="",AJ245,fMkk3($AE245,$AD243,AK$233,$B$229,$B$236:$H$236,$B$247:$H$247,$B$249:$H$249,$B$250:$H258,$B$248:$H$248,$B$245:$H$245,$B$238:$H$238,$B$243:$H$243,$B$232,1))</f>
        <v>-9.159749999999953</v>
      </c>
      <c r="AL245" s="114">
        <f>IF(AL$233="",AK245,fMkk3($AE245,$AD243,AL$233,$B$229,$B$236:$H$236,$B$247:$H$247,$B$249:$H$249,$B$250:$H258,$B$248:$H$248,$B$245:$H$245,$B$238:$H$238,$B$243:$H$243,$B$232,1))</f>
        <v>-9.159749999999953</v>
      </c>
      <c r="AM245" s="121">
        <f>IF(AM$233="",AL245,fMkk3($AE245,$AD243,AM$233,$B$229,$B$236:$H$236,$B$247:$H$247,$B$249:$H$249,$B$250:$H258,$B$248:$H$248,$B$245:$H$245,$B$238:$H$238,$B$243:$H$243,$B$232,1))</f>
        <v>-9.159749999999953</v>
      </c>
      <c r="AN245" s="115"/>
      <c r="AO245" s="115"/>
      <c r="AP245" s="116"/>
      <c r="AQ245" s="16"/>
      <c r="AR245" s="124">
        <f t="shared" si="19"/>
        <v>-80.62749999999997</v>
      </c>
      <c r="AS245"/>
      <c r="AT245"/>
      <c r="AU245"/>
      <c r="AV245"/>
      <c r="AW245"/>
      <c r="AX245"/>
      <c r="AY245"/>
      <c r="AZ245"/>
      <c r="BA245"/>
      <c r="BB245"/>
      <c r="BC245"/>
      <c r="BD245"/>
    </row>
    <row r="246" spans="1:56" ht="13.5" thickBot="1" thickTop="1">
      <c r="A246" s="2" t="s">
        <v>115</v>
      </c>
      <c r="B246" s="98">
        <f>B235</f>
        <v>1</v>
      </c>
      <c r="C246" s="98">
        <f aca="true" t="shared" si="21" ref="C246:H246">C235</f>
        <v>2</v>
      </c>
      <c r="D246" s="98">
        <f t="shared" si="21"/>
        <v>3</v>
      </c>
      <c r="E246" s="98">
        <f t="shared" si="21"/>
      </c>
      <c r="F246" s="98">
        <f t="shared" si="21"/>
      </c>
      <c r="G246" s="98">
        <f t="shared" si="21"/>
      </c>
      <c r="H246" s="98">
        <f t="shared" si="21"/>
      </c>
      <c r="M246" s="2" t="s">
        <v>113</v>
      </c>
      <c r="N246" s="488">
        <v>4</v>
      </c>
      <c r="O246"/>
      <c r="P246"/>
      <c r="Q246"/>
      <c r="R246"/>
      <c r="S246"/>
      <c r="T246"/>
      <c r="U246"/>
      <c r="V246"/>
      <c r="W246"/>
      <c r="X246"/>
      <c r="Y246"/>
      <c r="Z246"/>
      <c r="AA246"/>
      <c r="AC246" s="2" t="s">
        <v>25</v>
      </c>
      <c r="AD246" s="15">
        <f>INDEX(B$238:H$238,1,AD243)</f>
        <v>0.7</v>
      </c>
      <c r="AE246" s="120">
        <f>AD245/2</f>
        <v>2.7</v>
      </c>
      <c r="AF246" s="14">
        <f>IF(AD249&gt;$B$229-1,AF238,AE246+AF241)</f>
        <v>8.100000000000001</v>
      </c>
      <c r="AG246" s="114">
        <f>IF(AG$233="",AE246,fMkk3($AE246,$AD243,AG$233,$B$229,$B$236:$H$236,$B$247:$H$247,$B$249:$H$249,$B$250:$H259,$B$248:$H$248,$B$245:$H$245,$B$238:$H$238,$B$243:$H$243,$B$232,1))</f>
        <v>-31.19899999999997</v>
      </c>
      <c r="AH246" s="114">
        <f>IF(AH$233="",AG246,fMkk3($AE246,$AD243,AH$233,$B$229,$B$236:$H$236,$B$247:$H$247,$B$249:$H$249,$B$250:$H259,$B$248:$H$248,$B$245:$H$245,$B$238:$H$238,$B$243:$H$243,$B$232,1))</f>
        <v>66.95000000000005</v>
      </c>
      <c r="AI246" s="114">
        <f>IF(AI$233="",AH246,fMkk3($AE246,$AD243,AI$233,$B$229,$B$236:$H$236,$B$247:$H$247,$B$249:$H$249,$B$250:$H259,$B$248:$H$248,$B$245:$H$245,$B$238:$H$238,$B$243:$H$243,$B$232,1))</f>
        <v>63.73950000000005</v>
      </c>
      <c r="AJ246" s="114">
        <f>IF(AJ$233="",AI246,fMkk3($AE246,$AD243,AJ$233,$B$229,$B$236:$H$236,$B$247:$H$247,$B$249:$H$249,$B$250:$H259,$B$248:$H$248,$B$245:$H$245,$B$238:$H$238,$B$243:$H$243,$B$232,1))</f>
        <v>65.95450000000004</v>
      </c>
      <c r="AK246" s="114">
        <f>IF(AK$233="",AJ246,fMkk3($AE246,$AD243,AK$233,$B$229,$B$236:$H$236,$B$247:$H$247,$B$249:$H$249,$B$250:$H259,$B$248:$H$248,$B$245:$H$245,$B$238:$H$238,$B$243:$H$243,$B$232,1))</f>
        <v>65.95450000000004</v>
      </c>
      <c r="AL246" s="114">
        <f>IF(AL$233="",AK246,fMkk3($AE246,$AD243,AL$233,$B$229,$B$236:$H$236,$B$247:$H$247,$B$249:$H$249,$B$250:$H259,$B$248:$H$248,$B$245:$H$245,$B$238:$H$238,$B$243:$H$243,$B$232,1))</f>
        <v>65.95450000000004</v>
      </c>
      <c r="AM246" s="121">
        <f>IF(AM$233="",AL246,fMkk3($AE246,$AD243,AM$233,$B$229,$B$236:$H$236,$B$247:$H$247,$B$249:$H$249,$B$250:$H259,$B$248:$H$248,$B$245:$H$245,$B$238:$H$238,$B$243:$H$243,$B$232,1))</f>
        <v>65.95450000000004</v>
      </c>
      <c r="AN246" s="115"/>
      <c r="AO246" s="115"/>
      <c r="AP246" s="116"/>
      <c r="AQ246" s="16"/>
      <c r="AR246" s="124">
        <f t="shared" si="19"/>
        <v>-31.19899999999997</v>
      </c>
      <c r="AS246"/>
      <c r="AT246"/>
      <c r="AU246"/>
      <c r="AV246"/>
      <c r="AW246"/>
      <c r="AX246"/>
      <c r="AY246"/>
      <c r="AZ246"/>
      <c r="BA246"/>
      <c r="BB246"/>
      <c r="BC246"/>
      <c r="BD246"/>
    </row>
    <row r="247" spans="1:56" ht="14.25" thickTop="1">
      <c r="A247" s="2" t="s">
        <v>97</v>
      </c>
      <c r="B247" s="6">
        <f>IF(B236=0,"",B236+MIN(B245,B238)/2+MIN(B238,C245)/2)</f>
        <v>5.4</v>
      </c>
      <c r="C247" s="6">
        <f aca="true" t="shared" si="22" ref="C247:H247">IF(C236=0,"",C236+MIN(C245,C238)/2+MIN(C238,D245)/2)</f>
        <v>5.4</v>
      </c>
      <c r="D247" s="6">
        <f t="shared" si="22"/>
        <v>6.4</v>
      </c>
      <c r="E247" s="6">
        <f t="shared" si="22"/>
      </c>
      <c r="F247" s="6">
        <f t="shared" si="22"/>
      </c>
      <c r="G247" s="6">
        <f t="shared" si="22"/>
      </c>
      <c r="H247" s="6">
        <f t="shared" si="22"/>
      </c>
      <c r="I247" s="5" t="s">
        <v>11</v>
      </c>
      <c r="J247"/>
      <c r="M247" s="42" t="s">
        <v>114</v>
      </c>
      <c r="N247" s="103">
        <v>1</v>
      </c>
      <c r="O247" s="350">
        <f aca="true" t="shared" si="23" ref="O247:O252">IF(N$246=N247,"XX","")</f>
      </c>
      <c r="P247"/>
      <c r="Q247"/>
      <c r="R247"/>
      <c r="S247"/>
      <c r="T247"/>
      <c r="U247"/>
      <c r="V247"/>
      <c r="W247"/>
      <c r="X247"/>
      <c r="Y247"/>
      <c r="Z247"/>
      <c r="AA247"/>
      <c r="AC247" s="2" t="s">
        <v>130</v>
      </c>
      <c r="AD247" s="15">
        <f>INDEX(B$245:H$245,1,AD243)</f>
        <v>0.4</v>
      </c>
      <c r="AE247" s="120">
        <f>AD245*0.75</f>
        <v>4.050000000000001</v>
      </c>
      <c r="AF247" s="14">
        <f>IF(AD249&gt;$B$229-1,AF239,AE247+AF241)</f>
        <v>9.450000000000001</v>
      </c>
      <c r="AG247" s="114">
        <f>IF(AG$233="",AE247,fMkk3($AE247,$AD243,AG$233,$B$229,$B$236:$H$236,$B$247:$H$247,$B$249:$H$249,$B$250:$H260,$B$248:$H$248,$B$245:$H$245,$B$238:$H$238,$B$243:$H$243,$B$232,1))</f>
        <v>-80.18550000000002</v>
      </c>
      <c r="AH247" s="114">
        <f>IF(AH$233="",AG247,fMkk3($AE247,$AD243,AH$233,$B$229,$B$236:$H$236,$B$247:$H$247,$B$249:$H$249,$B$250:$H260,$B$248:$H$248,$B$245:$H$245,$B$238:$H$238,$B$243:$H$243,$B$232,1))</f>
        <v>-10.530500000000046</v>
      </c>
      <c r="AI247" s="114">
        <f>IF(AI$233="",AH247,fMkk3($AE247,$AD243,AI$233,$B$229,$B$236:$H$236,$B$247:$H$247,$B$249:$H$249,$B$250:$H260,$B$248:$H$248,$B$245:$H$245,$B$238:$H$238,$B$243:$H$243,$B$232,1))</f>
        <v>-12.148750000000035</v>
      </c>
      <c r="AJ247" s="114">
        <f>IF(AJ$233="",AI247,fMkk3($AE247,$AD243,AJ$233,$B$229,$B$236:$H$236,$B$247:$H$247,$B$249:$H$249,$B$250:$H260,$B$248:$H$248,$B$245:$H$245,$B$238:$H$238,$B$243:$H$243,$B$232,1))</f>
        <v>-12.021250000000066</v>
      </c>
      <c r="AK247" s="114">
        <f>IF(AK$233="",AJ247,fMkk3($AE247,$AD243,AK$233,$B$229,$B$236:$H$236,$B$247:$H$247,$B$249:$H$249,$B$250:$H260,$B$248:$H$248,$B$245:$H$245,$B$238:$H$238,$B$243:$H$243,$B$232,1))</f>
        <v>-12.021250000000066</v>
      </c>
      <c r="AL247" s="114">
        <f>IF(AL$233="",AK247,fMkk3($AE247,$AD243,AL$233,$B$229,$B$236:$H$236,$B$247:$H$247,$B$249:$H$249,$B$250:$H260,$B$248:$H$248,$B$245:$H$245,$B$238:$H$238,$B$243:$H$243,$B$232,1))</f>
        <v>-12.021250000000066</v>
      </c>
      <c r="AM247" s="121">
        <f>IF(AM$233="",AL247,fMkk3($AE247,$AD243,AM$233,$B$229,$B$236:$H$236,$B$247:$H$247,$B$249:$H$249,$B$250:$H260,$B$248:$H$248,$B$245:$H$245,$B$238:$H$238,$B$243:$H$243,$B$232,1))</f>
        <v>-12.021250000000066</v>
      </c>
      <c r="AN247" s="115"/>
      <c r="AO247" s="115"/>
      <c r="AP247" s="116"/>
      <c r="AQ247" s="16"/>
      <c r="AR247" s="124">
        <f t="shared" si="19"/>
        <v>-80.18550000000002</v>
      </c>
      <c r="AS247"/>
      <c r="AT247"/>
      <c r="AU247"/>
      <c r="AV247"/>
      <c r="AW247"/>
      <c r="AX247"/>
      <c r="AY247"/>
      <c r="AZ247"/>
      <c r="BA247"/>
      <c r="BB247"/>
      <c r="BC247"/>
      <c r="BD247"/>
    </row>
    <row r="248" spans="1:56" ht="13.5">
      <c r="A248" s="2" t="s">
        <v>28</v>
      </c>
      <c r="B248" s="90">
        <f aca="true" t="shared" si="24" ref="B248:H248">IF(B236=0,"",finer(B237,B238,B239,B240,B238,B238,0,0,1,1))</f>
        <v>0.29</v>
      </c>
      <c r="C248" s="90">
        <f t="shared" si="24"/>
        <v>0.29</v>
      </c>
      <c r="D248" s="90">
        <f t="shared" si="24"/>
        <v>0.29</v>
      </c>
      <c r="E248" s="90">
        <f t="shared" si="24"/>
      </c>
      <c r="F248" s="90">
        <f t="shared" si="24"/>
      </c>
      <c r="G248" s="90">
        <f t="shared" si="24"/>
      </c>
      <c r="H248" s="90">
        <f t="shared" si="24"/>
      </c>
      <c r="I248" s="5" t="s">
        <v>86</v>
      </c>
      <c r="J248"/>
      <c r="M248" s="42" t="s">
        <v>117</v>
      </c>
      <c r="N248" s="7">
        <v>2</v>
      </c>
      <c r="O248" s="350">
        <f t="shared" si="23"/>
      </c>
      <c r="P248"/>
      <c r="Q248"/>
      <c r="R248"/>
      <c r="S248"/>
      <c r="T248"/>
      <c r="U248"/>
      <c r="V248"/>
      <c r="W248"/>
      <c r="X248"/>
      <c r="Y248"/>
      <c r="Z248"/>
      <c r="AA248"/>
      <c r="AC248" s="2" t="s">
        <v>131</v>
      </c>
      <c r="AD248" s="15">
        <f>INDEX(B$245:H$245,1,AD243+1)</f>
        <v>0.4</v>
      </c>
      <c r="AE248" s="120">
        <f>AD245-MIN(AD246/2,AD248/2)</f>
        <v>5.2</v>
      </c>
      <c r="AF248" s="14">
        <f>IF(AD249&gt;$B$229-1,AF240,AE248+AF241)</f>
        <v>10.600000000000001</v>
      </c>
      <c r="AG248" s="114">
        <f>IF(AG$233="",AE248,fMkk3($AE248,$AD243,AG$233,$B$229,$B$236:$H$236,$B$247:$H$247,$B$249:$H$249,$B$250:$H261,$B$248:$H$248,$B$245:$H$245,$B$238:$H$238,$B$243:$H$243,$B$232,1))</f>
        <v>-199.53974074074074</v>
      </c>
      <c r="AH248" s="114">
        <f>IF(AH$233="",AG248,fMkk3($AE248,$AD243,AH$233,$B$229,$B$236:$H$236,$B$247:$H$247,$B$249:$H$249,$B$250:$H261,$B$248:$H$248,$B$245:$H$245,$B$238:$H$238,$B$243:$H$243,$B$232,1))</f>
        <v>-197.28240740740736</v>
      </c>
      <c r="AI248" s="114">
        <f>IF(AI$233="",AH248,fMkk3($AE248,$AD243,AI$233,$B$229,$B$236:$H$236,$B$247:$H$247,$B$249:$H$249,$B$250:$H261,$B$248:$H$248,$B$245:$H$245,$B$238:$H$238,$B$243:$H$243,$B$232,1))</f>
        <v>-197.54429629629627</v>
      </c>
      <c r="AJ248" s="114">
        <f>IF(AJ$233="",AI248,fMkk3($AE248,$AD243,AJ$233,$B$229,$B$236:$H$236,$B$247:$H$247,$B$249:$H$249,$B$250:$H261,$B$248:$H$248,$B$245:$H$245,$B$238:$H$238,$B$243:$H$243,$B$232,1))</f>
        <v>-199.19503703703703</v>
      </c>
      <c r="AK248" s="114">
        <f>IF(AK$233="",AJ248,fMkk3($AE248,$AD243,AK$233,$B$229,$B$236:$H$236,$B$247:$H$247,$B$249:$H$249,$B$250:$H261,$B$248:$H$248,$B$245:$H$245,$B$238:$H$238,$B$243:$H$243,$B$232,1))</f>
        <v>-199.19503703703703</v>
      </c>
      <c r="AL248" s="114">
        <f>IF(AL$233="",AK248,fMkk3($AE248,$AD243,AL$233,$B$229,$B$236:$H$236,$B$247:$H$247,$B$249:$H$249,$B$250:$H261,$B$248:$H$248,$B$245:$H$245,$B$238:$H$238,$B$243:$H$243,$B$232,1))</f>
        <v>-199.19503703703703</v>
      </c>
      <c r="AM248" s="121">
        <f>IF(AM$233="",AL248,fMkk3($AE248,$AD243,AM$233,$B$229,$B$236:$H$236,$B$247:$H$247,$B$249:$H$249,$B$250:$H261,$B$248:$H$248,$B$245:$H$245,$B$238:$H$238,$B$243:$H$243,$B$232,1))</f>
        <v>-199.19503703703703</v>
      </c>
      <c r="AN248" s="115"/>
      <c r="AO248" s="115"/>
      <c r="AP248" s="116"/>
      <c r="AQ248" s="16"/>
      <c r="AR248" s="124">
        <f t="shared" si="19"/>
        <v>-199.53974074074074</v>
      </c>
      <c r="AS248"/>
      <c r="AT248"/>
      <c r="AU248"/>
      <c r="AV248"/>
      <c r="AW248"/>
      <c r="AX248"/>
      <c r="AY248"/>
      <c r="AZ248"/>
      <c r="BA248"/>
      <c r="BB248"/>
      <c r="BC248"/>
      <c r="BD248"/>
    </row>
    <row r="249" spans="1:56" ht="13.5">
      <c r="A249" s="2" t="s">
        <v>102</v>
      </c>
      <c r="B249" s="7">
        <f aca="true" t="shared" si="25" ref="B249:H249">IF(B236=0,"",$B230*B241)</f>
        <v>54</v>
      </c>
      <c r="C249" s="7">
        <f t="shared" si="25"/>
        <v>54</v>
      </c>
      <c r="D249" s="7">
        <f t="shared" si="25"/>
        <v>54</v>
      </c>
      <c r="E249" s="7">
        <f t="shared" si="25"/>
      </c>
      <c r="F249" s="7">
        <f t="shared" si="25"/>
      </c>
      <c r="G249" s="7">
        <f t="shared" si="25"/>
      </c>
      <c r="H249" s="7">
        <f t="shared" si="25"/>
      </c>
      <c r="I249" s="5" t="s">
        <v>98</v>
      </c>
      <c r="J249"/>
      <c r="M249" s="42" t="s">
        <v>118</v>
      </c>
      <c r="N249" s="7">
        <v>3</v>
      </c>
      <c r="O249" s="350">
        <f t="shared" si="23"/>
      </c>
      <c r="P249"/>
      <c r="Q249"/>
      <c r="R249"/>
      <c r="S249"/>
      <c r="T249"/>
      <c r="U249"/>
      <c r="V249"/>
      <c r="W249"/>
      <c r="X249"/>
      <c r="Y249"/>
      <c r="Z249"/>
      <c r="AA249"/>
      <c r="AC249" s="2" t="s">
        <v>138</v>
      </c>
      <c r="AD249" s="15">
        <f>1+AD241</f>
        <v>2</v>
      </c>
      <c r="AE249" s="120">
        <f>AD245</f>
        <v>5.4</v>
      </c>
      <c r="AF249" s="14">
        <f>IF(AD249&gt;$B$229-1,AF241,AE249+AF241)</f>
        <v>10.8</v>
      </c>
      <c r="AG249" s="114">
        <f>IF(AG$233="",AE249,fMkk3($AE249,$AD243,AG$233,$B$229,$B$236:$H$236,$B$247:$H$247,$B$249:$H$249,$B$250:$H262,$B$248:$H$248,$B$245:$H$245,$B$238:$H$238,$B$243:$H$243,$B$232,1))</f>
        <v>-227.58700000000002</v>
      </c>
      <c r="AH249" s="114">
        <f>IF(AH$233="",AG249,fMkk3($AE249,$AD243,AH$233,$B$229,$B$236:$H$236,$B$247:$H$247,$B$249:$H$249,$B$250:$H262,$B$248:$H$248,$B$245:$H$245,$B$238:$H$238,$B$243:$H$243,$B$232,1))</f>
        <v>-241.101</v>
      </c>
      <c r="AI249" s="114">
        <f>IF(AI$233="",AH249,fMkk3($AE249,$AD243,AI$233,$B$229,$B$236:$H$236,$B$247:$H$247,$B$249:$H$249,$B$250:$H262,$B$248:$H$248,$B$245:$H$245,$B$238:$H$238,$B$243:$H$243,$B$232,1))</f>
        <v>-241.127</v>
      </c>
      <c r="AJ249" s="114">
        <f>IF(AJ$233="",AI249,fMkk3($AE249,$AD243,AJ$233,$B$229,$B$236:$H$236,$B$247:$H$247,$B$249:$H$249,$B$250:$H262,$B$248:$H$248,$B$245:$H$245,$B$238:$H$238,$B$243:$H$243,$B$232,1))</f>
        <v>-243.08700000000002</v>
      </c>
      <c r="AK249" s="114">
        <f>IF(AK$233="",AJ249,fMkk3($AE249,$AD243,AK$233,$B$229,$B$236:$H$236,$B$247:$H$247,$B$249:$H$249,$B$250:$H262,$B$248:$H$248,$B$245:$H$245,$B$238:$H$238,$B$243:$H$243,$B$232,1))</f>
        <v>-243.08700000000002</v>
      </c>
      <c r="AL249" s="114">
        <f>IF(AL$233="",AK249,fMkk3($AE249,$AD243,AL$233,$B$229,$B$236:$H$236,$B$247:$H$247,$B$249:$H$249,$B$250:$H262,$B$248:$H$248,$B$245:$H$245,$B$238:$H$238,$B$243:$H$243,$B$232,1))</f>
        <v>-243.08700000000002</v>
      </c>
      <c r="AM249" s="121">
        <f>IF(AM$233="",AL249,fMkk3($AE249,$AD243,AM$233,$B$229,$B$236:$H$236,$B$247:$H$247,$B$249:$H$249,$B$250:$H262,$B$248:$H$248,$B$245:$H$245,$B$238:$H$238,$B$243:$H$243,$B$232,1))</f>
        <v>-243.08700000000002</v>
      </c>
      <c r="AN249" s="115"/>
      <c r="AO249" s="115"/>
      <c r="AP249" s="116"/>
      <c r="AQ249" s="16"/>
      <c r="AR249" s="124">
        <f t="shared" si="19"/>
        <v>-243.08700000000002</v>
      </c>
      <c r="AS249"/>
      <c r="AT249"/>
      <c r="AU249"/>
      <c r="AV249"/>
      <c r="AW249"/>
      <c r="AX249"/>
      <c r="AY249"/>
      <c r="AZ249"/>
      <c r="BA249"/>
      <c r="BB249"/>
      <c r="BC249"/>
      <c r="BD249"/>
    </row>
    <row r="250" spans="1:56" ht="13.5">
      <c r="A250" s="2" t="s">
        <v>103</v>
      </c>
      <c r="B250" s="10">
        <f aca="true" t="shared" si="26" ref="B250:H250">IF(B236=0,"",B249+$B231*B242)</f>
        <v>84</v>
      </c>
      <c r="C250" s="10">
        <f t="shared" si="26"/>
        <v>84</v>
      </c>
      <c r="D250" s="10">
        <f t="shared" si="26"/>
        <v>84</v>
      </c>
      <c r="E250" s="10">
        <f t="shared" si="26"/>
      </c>
      <c r="F250" s="10">
        <f t="shared" si="26"/>
      </c>
      <c r="G250" s="10">
        <f t="shared" si="26"/>
      </c>
      <c r="H250" s="10">
        <f t="shared" si="26"/>
      </c>
      <c r="I250" s="5" t="s">
        <v>98</v>
      </c>
      <c r="J250"/>
      <c r="M250" s="42" t="s">
        <v>119</v>
      </c>
      <c r="N250" s="104">
        <v>4</v>
      </c>
      <c r="O250" s="350" t="str">
        <f t="shared" si="23"/>
        <v>XX</v>
      </c>
      <c r="P250"/>
      <c r="Q250"/>
      <c r="R250"/>
      <c r="S250"/>
      <c r="T250"/>
      <c r="U250"/>
      <c r="V250"/>
      <c r="W250"/>
      <c r="X250"/>
      <c r="Y250"/>
      <c r="Z250"/>
      <c r="AA250"/>
      <c r="AC250"/>
      <c r="AD250" s="115"/>
      <c r="AE250" s="115"/>
      <c r="AF250" s="14"/>
      <c r="AG250" s="115"/>
      <c r="AH250" s="115"/>
      <c r="AI250" s="115"/>
      <c r="AJ250" s="115"/>
      <c r="AK250" s="115"/>
      <c r="AL250" s="115"/>
      <c r="AM250" s="115"/>
      <c r="AN250" s="115"/>
      <c r="AO250" s="115"/>
      <c r="AP250" s="116"/>
      <c r="AQ250" s="16"/>
      <c r="AR250" s="115"/>
      <c r="AS250"/>
      <c r="AT250"/>
      <c r="AU250"/>
      <c r="AV250"/>
      <c r="AW250"/>
      <c r="AX250"/>
      <c r="AY250"/>
      <c r="AZ250"/>
      <c r="BA250"/>
      <c r="BB250"/>
      <c r="BC250"/>
      <c r="BD250"/>
    </row>
    <row r="251" spans="1:56" ht="13.5">
      <c r="A251"/>
      <c r="B251"/>
      <c r="C251" s="99"/>
      <c r="D251"/>
      <c r="E251"/>
      <c r="F251"/>
      <c r="G251"/>
      <c r="H251"/>
      <c r="I251"/>
      <c r="J251"/>
      <c r="M251" s="42" t="s">
        <v>120</v>
      </c>
      <c r="N251" s="7">
        <v>5</v>
      </c>
      <c r="O251" s="350">
        <f t="shared" si="23"/>
      </c>
      <c r="P251"/>
      <c r="Q251"/>
      <c r="R251"/>
      <c r="S251"/>
      <c r="T251"/>
      <c r="U251"/>
      <c r="V251"/>
      <c r="W251"/>
      <c r="X251"/>
      <c r="Y251"/>
      <c r="Z251"/>
      <c r="AA251"/>
      <c r="AC251" s="2" t="s">
        <v>127</v>
      </c>
      <c r="AD251" s="119">
        <f>IF(AD243&gt;=$B$229-1,AD243,AD243+1)</f>
        <v>3</v>
      </c>
      <c r="AE251" s="120">
        <v>0</v>
      </c>
      <c r="AF251" s="14">
        <f>IF(AD257&gt;$B$229-1,AF243,AE251+AF249)</f>
        <v>10.8</v>
      </c>
      <c r="AG251" s="114">
        <f>IF(AG$233="",AE251,fMkk3($AE251,$AD251,AG$233,$B$229,$B$236:$H$236,$B$247:$H$247,$B$249:$H$249,$B$250:$H266,$B$248:$H$248,$B$245:$H$245,$B$238:$H$238,$B$243:$H$243,$B$232,1))</f>
        <v>-227.58700000000002</v>
      </c>
      <c r="AH251" s="114">
        <f>IF(AH$233="",AG251,fMkk3($AE251,$AD251,AH$233,$B$229,$B$236:$H$236,$B$247:$H$247,$B$249:$H$249,$B$250:$H266,$B$248:$H$248,$B$245:$H$245,$B$238:$H$238,$B$243:$H$243,$B$232,1))</f>
        <v>-241.101</v>
      </c>
      <c r="AI251" s="114">
        <f>IF(AI$233="",AH251,fMkk3($AE251,$AD251,AI$233,$B$229,$B$236:$H$236,$B$247:$H$247,$B$249:$H$249,$B$250:$H266,$B$248:$H$248,$B$245:$H$245,$B$238:$H$238,$B$243:$H$243,$B$232,1))</f>
        <v>-241.127</v>
      </c>
      <c r="AJ251" s="114">
        <f>IF(AJ$233="",AI251,fMkk3($AE251,$AD251,AJ$233,$B$229,$B$236:$H$236,$B$247:$H$247,$B$249:$H$249,$B$250:$H266,$B$248:$H$248,$B$245:$H$245,$B$238:$H$238,$B$243:$H$243,$B$232,1))</f>
        <v>-243.08700000000002</v>
      </c>
      <c r="AK251" s="114">
        <f>IF(AK$233="",AJ251,fMkk3($AE251,$AD251,AK$233,$B$229,$B$236:$H$236,$B$247:$H$247,$B$249:$H$249,$B$250:$H266,$B$248:$H$248,$B$245:$H$245,$B$238:$H$238,$B$243:$H$243,$B$232,1))</f>
        <v>-243.08700000000002</v>
      </c>
      <c r="AL251" s="114">
        <f>IF(AL$233="",AK251,fMkk3($AE251,$AD251,AL$233,$B$229,$B$236:$H$236,$B$247:$H$247,$B$249:$H$249,$B$250:$H266,$B$248:$H$248,$B$245:$H$245,$B$238:$H$238,$B$243:$H$243,$B$232,1))</f>
        <v>-243.08700000000002</v>
      </c>
      <c r="AM251" s="121">
        <f>IF(AM$233="",AL251,fMkk3($AE251,$AD251,AM$233,$B$229,$B$236:$H$236,$B$247:$H$247,$B$249:$H$249,$B$250:$H266,$B$248:$H$248,$B$245:$H$245,$B$238:$H$238,$B$243:$H$243,$B$232,1))</f>
        <v>-243.08700000000002</v>
      </c>
      <c r="AN251" s="115"/>
      <c r="AO251" s="115"/>
      <c r="AP251" s="116"/>
      <c r="AQ251" s="16"/>
      <c r="AR251" s="124">
        <f aca="true" t="shared" si="27" ref="AR251:AR257">MIN(AG251:AM251)</f>
        <v>-243.08700000000002</v>
      </c>
      <c r="AS251"/>
      <c r="AT251"/>
      <c r="AU251"/>
      <c r="AV251"/>
      <c r="AW251"/>
      <c r="AX251"/>
      <c r="AY251"/>
      <c r="AZ251"/>
      <c r="BA251"/>
      <c r="BB251"/>
      <c r="BC251"/>
      <c r="BD251"/>
    </row>
    <row r="252" spans="1:56" ht="13.5">
      <c r="A252" s="29" t="str">
        <f>INDEX(M247:N252,N246,1)</f>
        <v>Moment mini (algébrique) aux deux nus de l'appui</v>
      </c>
      <c r="C252"/>
      <c r="D252"/>
      <c r="E252"/>
      <c r="F252"/>
      <c r="G252"/>
      <c r="H252"/>
      <c r="I252"/>
      <c r="J252"/>
      <c r="K252"/>
      <c r="M252" s="42" t="s">
        <v>121</v>
      </c>
      <c r="N252" s="10">
        <v>6</v>
      </c>
      <c r="O252" s="350">
        <f t="shared" si="23"/>
      </c>
      <c r="P252"/>
      <c r="Q252"/>
      <c r="R252"/>
      <c r="S252"/>
      <c r="T252"/>
      <c r="U252"/>
      <c r="V252"/>
      <c r="W252"/>
      <c r="X252"/>
      <c r="Y252"/>
      <c r="Z252"/>
      <c r="AA252"/>
      <c r="AC252" s="2" t="s">
        <v>128</v>
      </c>
      <c r="AD252" s="15">
        <f>INDEX(B$236:H$236,1,AD251)</f>
        <v>6</v>
      </c>
      <c r="AE252" s="120">
        <f>MIN(AD255/2,AD254,2)</f>
        <v>0.2</v>
      </c>
      <c r="AF252" s="14">
        <f>IF(AD257&gt;$B$229-1,AF244,AE252+AF249)</f>
        <v>11</v>
      </c>
      <c r="AG252" s="114">
        <f>IF(AG$233="",AE252,fMkk3($AE252,$AD251,AG$233,$B$229,$B$236:$H$236,$B$247:$H$247,$B$249:$H$249,$B$250:$H267,$B$248:$H$248,$B$245:$H$245,$B$238:$H$238,$B$243:$H$243,$B$232,1))</f>
        <v>-168.39490625</v>
      </c>
      <c r="AH252" s="114">
        <f>IF(AH$233="",AG252,fMkk3($AE252,$AD251,AH$233,$B$229,$B$236:$H$236,$B$247:$H$247,$B$249:$H$249,$B$250:$H267,$B$248:$H$248,$B$245:$H$245,$B$238:$H$238,$B$243:$H$243,$B$232,1))</f>
        <v>-200.08659375000002</v>
      </c>
      <c r="AI252" s="114">
        <f>IF(AI$233="",AH252,fMkk3($AE252,$AD251,AI$233,$B$229,$B$236:$H$236,$B$247:$H$247,$B$249:$H$249,$B$250:$H267,$B$248:$H$248,$B$245:$H$245,$B$238:$H$238,$B$243:$H$243,$B$232,1))</f>
        <v>-200.11178124999998</v>
      </c>
      <c r="AJ252" s="114">
        <f>IF(AJ$233="",AI252,fMkk3($AE252,$AD251,AJ$233,$B$229,$B$236:$H$236,$B$247:$H$247,$B$249:$H$249,$B$250:$H267,$B$248:$H$248,$B$245:$H$245,$B$238:$H$238,$B$243:$H$243,$B$232,1))</f>
        <v>-183.41053125</v>
      </c>
      <c r="AK252" s="114">
        <f>IF(AK$233="",AJ252,fMkk3($AE252,$AD251,AK$233,$B$229,$B$236:$H$236,$B$247:$H$247,$B$249:$H$249,$B$250:$H267,$B$248:$H$248,$B$245:$H$245,$B$238:$H$238,$B$243:$H$243,$B$232,1))</f>
        <v>-183.41053125</v>
      </c>
      <c r="AL252" s="114">
        <f>IF(AL$233="",AK252,fMkk3($AE252,$AD251,AL$233,$B$229,$B$236:$H$236,$B$247:$H$247,$B$249:$H$249,$B$250:$H267,$B$248:$H$248,$B$245:$H$245,$B$238:$H$238,$B$243:$H$243,$B$232,1))</f>
        <v>-183.41053125</v>
      </c>
      <c r="AM252" s="121">
        <f>IF(AM$233="",AL252,fMkk3($AE252,$AD251,AM$233,$B$229,$B$236:$H$236,$B$247:$H$247,$B$249:$H$249,$B$250:$H267,$B$248:$H$248,$B$245:$H$245,$B$238:$H$238,$B$243:$H$243,$B$232,1))</f>
        <v>-183.41053125</v>
      </c>
      <c r="AN252" s="115"/>
      <c r="AO252" s="115"/>
      <c r="AP252" s="116"/>
      <c r="AQ252" s="16"/>
      <c r="AR252" s="124">
        <f t="shared" si="27"/>
        <v>-200.11178124999998</v>
      </c>
      <c r="AS252"/>
      <c r="AT252"/>
      <c r="AU252"/>
      <c r="AV252"/>
      <c r="AW252"/>
      <c r="AX252"/>
      <c r="AY252"/>
      <c r="AZ252"/>
      <c r="BA252"/>
      <c r="BB252"/>
      <c r="BC252"/>
      <c r="BD252"/>
    </row>
    <row r="253" spans="2:56" ht="12.75">
      <c r="B253" s="94" t="str">
        <f aca="true" t="shared" si="28" ref="B253:I253">IF($N246&lt;5,IF(AG231&gt;$B229,"","Appui "&amp;B244),IF(AG231&gt;=$B229,"","Travée"&amp;B244))</f>
        <v>Appui 1</v>
      </c>
      <c r="C253" s="94" t="str">
        <f t="shared" si="28"/>
        <v>Appui 2</v>
      </c>
      <c r="D253" s="94" t="str">
        <f t="shared" si="28"/>
        <v>Appui 3</v>
      </c>
      <c r="E253" s="94" t="str">
        <f t="shared" si="28"/>
        <v>Appui 4</v>
      </c>
      <c r="F253" s="94">
        <f t="shared" si="28"/>
      </c>
      <c r="G253" s="94">
        <f t="shared" si="28"/>
      </c>
      <c r="H253" s="94">
        <f t="shared" si="28"/>
      </c>
      <c r="I253" s="94">
        <f t="shared" si="28"/>
      </c>
      <c r="J253" s="93">
        <f>IF(K235="","",J235+1)</f>
      </c>
      <c r="K253" s="133" t="s">
        <v>145</v>
      </c>
      <c r="L253" s="134" t="s">
        <v>146</v>
      </c>
      <c r="O253"/>
      <c r="P253"/>
      <c r="Q253"/>
      <c r="R253"/>
      <c r="S253"/>
      <c r="T253"/>
      <c r="U253"/>
      <c r="V253"/>
      <c r="W253"/>
      <c r="X253"/>
      <c r="Y253"/>
      <c r="Z253"/>
      <c r="AA253"/>
      <c r="AC253" s="2" t="s">
        <v>129</v>
      </c>
      <c r="AD253" s="15">
        <f>INDEX(B$247:H$247,1,AD251)</f>
        <v>6.4</v>
      </c>
      <c r="AE253" s="120">
        <f>AD253/4</f>
        <v>1.6</v>
      </c>
      <c r="AF253" s="14">
        <f>IF(AD257&gt;$B$229-1,AF245,AE253+AF249)</f>
        <v>12.4</v>
      </c>
      <c r="AG253" s="114">
        <f>IF(AG$233="",AE253,fMkk3($AE253,$AD251,AG$233,$B$229,$B$236:$H$236,$B$247:$H$247,$B$249:$H$249,$B$250:$H268,$B$248:$H$248,$B$245:$H$245,$B$238:$H$238,$B$243:$H$243,$B$232,1))</f>
        <v>151.86975000000004</v>
      </c>
      <c r="AH253" s="114">
        <f>IF(AH$233="",AG253,fMkk3($AE253,$AD251,AH$233,$B$229,$B$236:$H$236,$B$247:$H$247,$B$249:$H$249,$B$250:$H268,$B$248:$H$248,$B$245:$H$245,$B$238:$H$238,$B$243:$H$243,$B$232,1))</f>
        <v>26.534250000000043</v>
      </c>
      <c r="AI253" s="114">
        <f>IF(AI$233="",AH253,fMkk3($AE253,$AD251,AI$233,$B$229,$B$236:$H$236,$B$247:$H$247,$B$249:$H$249,$B$250:$H268,$B$248:$H$248,$B$245:$H$245,$B$238:$H$238,$B$243:$H$243,$B$232,1))</f>
        <v>26.51475000000002</v>
      </c>
      <c r="AJ253" s="114">
        <f>IF(AJ$233="",AI253,fMkk3($AE253,$AD251,AJ$233,$B$229,$B$236:$H$236,$B$247:$H$247,$B$249:$H$249,$B$250:$H268,$B$248:$H$248,$B$245:$H$245,$B$238:$H$238,$B$243:$H$243,$B$232,1))</f>
        <v>140.24475000000004</v>
      </c>
      <c r="AK253" s="114">
        <f>IF(AK$233="",AJ253,fMkk3($AE253,$AD251,AK$233,$B$229,$B$236:$H$236,$B$247:$H$247,$B$249:$H$249,$B$250:$H268,$B$248:$H$248,$B$245:$H$245,$B$238:$H$238,$B$243:$H$243,$B$232,1))</f>
        <v>140.24475000000004</v>
      </c>
      <c r="AL253" s="114">
        <f>IF(AL$233="",AK253,fMkk3($AE253,$AD251,AL$233,$B$229,$B$236:$H$236,$B$247:$H$247,$B$249:$H$249,$B$250:$H268,$B$248:$H$248,$B$245:$H$245,$B$238:$H$238,$B$243:$H$243,$B$232,1))</f>
        <v>140.24475000000004</v>
      </c>
      <c r="AM253" s="121">
        <f>IF(AM$233="",AL253,fMkk3($AE253,$AD251,AM$233,$B$229,$B$236:$H$236,$B$247:$H$247,$B$249:$H$249,$B$250:$H268,$B$248:$H$248,$B$245:$H$245,$B$238:$H$238,$B$243:$H$243,$B$232,1))</f>
        <v>140.24475000000004</v>
      </c>
      <c r="AN253" s="115"/>
      <c r="AO253" s="115"/>
      <c r="AP253" s="116"/>
      <c r="AQ253" s="16"/>
      <c r="AR253" s="124">
        <f t="shared" si="27"/>
        <v>26.51475000000002</v>
      </c>
      <c r="AS253"/>
      <c r="AT253"/>
      <c r="AU253"/>
      <c r="AV253"/>
      <c r="AW253"/>
      <c r="AX253"/>
      <c r="AY253"/>
      <c r="AZ253"/>
      <c r="BA253"/>
      <c r="BB253"/>
      <c r="BC253"/>
      <c r="BD253"/>
    </row>
    <row r="254" spans="1:56" ht="13.5">
      <c r="A254" s="92">
        <v>1</v>
      </c>
      <c r="B254" s="105">
        <f aca="true" t="shared" si="29" ref="B254:I261">IF(A254="","",IF(B253="","",macf($K254,B$244)))</f>
        <v>0</v>
      </c>
      <c r="C254" s="105">
        <f t="shared" si="29"/>
        <v>-200.358</v>
      </c>
      <c r="D254" s="105">
        <f t="shared" si="29"/>
        <v>-199.53900000000002</v>
      </c>
      <c r="E254" s="105">
        <f t="shared" si="29"/>
        <v>0</v>
      </c>
      <c r="F254" s="105">
        <f t="shared" si="29"/>
      </c>
      <c r="G254" s="105">
        <f t="shared" si="29"/>
      </c>
      <c r="H254" s="105">
        <f t="shared" si="29"/>
      </c>
      <c r="I254" s="105">
        <f t="shared" si="29"/>
      </c>
      <c r="J254" t="s">
        <v>12</v>
      </c>
      <c r="K254" s="125" t="str">
        <f>IF(A254="","",fMkk2($A254,$B$229,$B$236:$H$236,$B$247:$H$247,$B$249:$H$249,$B250:$H$250,$B$248:$H$248,$B$245:$H$245,$B$238:$H$238,$B$243:$H$243,$B$232,$N$246))</f>
        <v>0000000000130320035813031995390000000000</v>
      </c>
      <c r="L254" s="126" t="str">
        <f>IF(A254="","",fMkk2($A254,$B$229,$B$236:$H$236,$B$247:$H$247,$B$249:$H$249,$B250:$H$250,$B$248:$H$248,$B$245:$H$245,$B$238:$H$238,$B$243:$H$243,$B$232,1))</f>
        <v>0000000000130322847113032275870000000000</v>
      </c>
      <c r="O254"/>
      <c r="P254"/>
      <c r="Q254"/>
      <c r="R254"/>
      <c r="S254"/>
      <c r="T254"/>
      <c r="U254"/>
      <c r="V254"/>
      <c r="W254"/>
      <c r="X254"/>
      <c r="Y254"/>
      <c r="Z254"/>
      <c r="AA254"/>
      <c r="AC254" s="2" t="s">
        <v>25</v>
      </c>
      <c r="AD254" s="15">
        <f>INDEX(B$238:H$238,1,AD251)</f>
        <v>0.7</v>
      </c>
      <c r="AE254" s="120">
        <f>AD253/2</f>
        <v>3.2</v>
      </c>
      <c r="AF254" s="14">
        <f>IF(AD257&gt;$B$229-1,AF246,AE254+AF249)</f>
        <v>14</v>
      </c>
      <c r="AG254" s="114">
        <f>IF(AG$233="",AE254,fMkk3($AE254,$AD251,AG$233,$B$229,$B$236:$H$236,$B$247:$H$247,$B$249:$H$249,$B$250:$H269,$B$248:$H$248,$B$245:$H$245,$B$238:$H$238,$B$243:$H$243,$B$232,1))</f>
        <v>316.28650000000005</v>
      </c>
      <c r="AH254" s="114">
        <f>IF(AH$233="",AG254,fMkk3($AE254,$AD251,AH$233,$B$229,$B$236:$H$236,$B$247:$H$247,$B$249:$H$249,$B$250:$H269,$B$248:$H$248,$B$245:$H$245,$B$238:$H$238,$B$243:$H$243,$B$232,1))</f>
        <v>155.92950000000002</v>
      </c>
      <c r="AI254" s="114">
        <f>IF(AI$233="",AH254,fMkk3($AE254,$AD251,AI$233,$B$229,$B$236:$H$236,$B$247:$H$247,$B$249:$H$249,$B$250:$H269,$B$248:$H$248,$B$245:$H$245,$B$238:$H$238,$B$243:$H$243,$B$232,1))</f>
        <v>155.9165</v>
      </c>
      <c r="AJ254" s="114">
        <f>IF(AJ$233="",AI254,fMkk3($AE254,$AD251,AJ$233,$B$229,$B$236:$H$236,$B$247:$H$247,$B$249:$H$249,$B$250:$H269,$B$248:$H$248,$B$245:$H$245,$B$238:$H$238,$B$243:$H$243,$B$232,1))</f>
        <v>308.53650000000005</v>
      </c>
      <c r="AK254" s="114">
        <f>IF(AK$233="",AJ254,fMkk3($AE254,$AD251,AK$233,$B$229,$B$236:$H$236,$B$247:$H$247,$B$249:$H$249,$B$250:$H269,$B$248:$H$248,$B$245:$H$245,$B$238:$H$238,$B$243:$H$243,$B$232,1))</f>
        <v>308.53650000000005</v>
      </c>
      <c r="AL254" s="114">
        <f>IF(AL$233="",AK254,fMkk3($AE254,$AD251,AL$233,$B$229,$B$236:$H$236,$B$247:$H$247,$B$249:$H$249,$B$250:$H269,$B$248:$H$248,$B$245:$H$245,$B$238:$H$238,$B$243:$H$243,$B$232,1))</f>
        <v>308.53650000000005</v>
      </c>
      <c r="AM254" s="121">
        <f>IF(AM$233="",AL254,fMkk3($AE254,$AD251,AM$233,$B$229,$B$236:$H$236,$B$247:$H$247,$B$249:$H$249,$B$250:$H269,$B$248:$H$248,$B$245:$H$245,$B$238:$H$238,$B$243:$H$243,$B$232,1))</f>
        <v>308.53650000000005</v>
      </c>
      <c r="AN254" s="115"/>
      <c r="AO254" s="115"/>
      <c r="AP254" s="116"/>
      <c r="AQ254" s="16"/>
      <c r="AR254" s="124">
        <f t="shared" si="27"/>
        <v>155.9165</v>
      </c>
      <c r="AS254"/>
      <c r="AT254"/>
      <c r="AU254"/>
      <c r="AV254"/>
      <c r="AW254"/>
      <c r="AX254"/>
      <c r="AY254"/>
      <c r="AZ254"/>
      <c r="BA254"/>
      <c r="BB254"/>
      <c r="BC254"/>
      <c r="BD254"/>
    </row>
    <row r="255" spans="1:56" ht="13.5">
      <c r="A255" s="92">
        <f aca="true" t="shared" si="30" ref="A255:A261">IF(A254&gt;=B$229,"",1+A254)</f>
        <v>2</v>
      </c>
      <c r="B255" s="106">
        <f t="shared" si="29"/>
        <v>0</v>
      </c>
      <c r="C255" s="106">
        <f t="shared" si="29"/>
        <v>-200.488</v>
      </c>
      <c r="D255" s="106">
        <f t="shared" si="29"/>
        <v>-200.08700000000002</v>
      </c>
      <c r="E255" s="106">
        <f t="shared" si="29"/>
        <v>0</v>
      </c>
      <c r="F255" s="106">
        <f t="shared" si="29"/>
      </c>
      <c r="G255" s="106">
        <f t="shared" si="29"/>
      </c>
      <c r="H255" s="106">
        <f t="shared" si="29"/>
      </c>
      <c r="I255" s="106">
        <f t="shared" si="29"/>
      </c>
      <c r="J255" t="s">
        <v>12</v>
      </c>
      <c r="K255" s="125" t="str">
        <f>IF(A255="","",fMkk2($A255,$B$229,$B$236:$H$236,$B$247:$H$247,$B$249:$H$249,$B$250:$H251,$B$248:$H$248,$B$245:$H$245,$B$238:$H$238,$B$243:$H$243,$B$232,$N$246))</f>
        <v>0000000000130320048813032000870000000000</v>
      </c>
      <c r="L255" s="126" t="str">
        <f>IF(A255="","",fMkk2($A255,$B$229,$B$236:$H$236,$B$247:$H$247,$B$249:$H$249,$B$250:$H251,$B$248:$H$248,$B$245:$H$245,$B$238:$H$238,$B$243:$H$243,$B$232,1))</f>
        <v>0000000000130323735913032411010000000000</v>
      </c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C255" s="2" t="s">
        <v>130</v>
      </c>
      <c r="AD255" s="15">
        <f>INDEX(B$245:H$245,1,AD251)</f>
        <v>0.4</v>
      </c>
      <c r="AE255" s="120">
        <f>AD253*0.75</f>
        <v>4.800000000000001</v>
      </c>
      <c r="AF255" s="14">
        <f>IF(AD257&gt;$B$229-1,AF247,AE255+AF249)</f>
        <v>15.600000000000001</v>
      </c>
      <c r="AG255" s="114">
        <f>IF(AG$233="",AE255,fMkk3($AE255,$AD251,AG$233,$B$229,$B$236:$H$236,$B$247:$H$247,$B$249:$H$249,$B$250:$H270,$B$248:$H$248,$B$245:$H$245,$B$238:$H$238,$B$243:$H$243,$B$232,1))</f>
        <v>265.66324999999995</v>
      </c>
      <c r="AH255" s="114">
        <f>IF(AH$233="",AG255,fMkk3($AE255,$AD251,AH$233,$B$229,$B$236:$H$236,$B$247:$H$247,$B$249:$H$249,$B$250:$H270,$B$248:$H$248,$B$245:$H$245,$B$238:$H$238,$B$243:$H$243,$B$232,1))</f>
        <v>147.08475</v>
      </c>
      <c r="AI255" s="114">
        <f>IF(AI$233="",AH255,fMkk3($AE255,$AD251,AI$233,$B$229,$B$236:$H$236,$B$247:$H$247,$B$249:$H$249,$B$250:$H270,$B$248:$H$248,$B$245:$H$245,$B$238:$H$238,$B$243:$H$243,$B$232,1))</f>
        <v>147.07825000000003</v>
      </c>
      <c r="AJ255" s="114">
        <f>IF(AJ$233="",AI255,fMkk3($AE255,$AD251,AJ$233,$B$229,$B$236:$H$236,$B$247:$H$247,$B$249:$H$249,$B$250:$H270,$B$248:$H$248,$B$245:$H$245,$B$238:$H$238,$B$243:$H$243,$B$232,1))</f>
        <v>261.78824999999995</v>
      </c>
      <c r="AK255" s="114">
        <f>IF(AK$233="",AJ255,fMkk3($AE255,$AD251,AK$233,$B$229,$B$236:$H$236,$B$247:$H$247,$B$249:$H$249,$B$250:$H270,$B$248:$H$248,$B$245:$H$245,$B$238:$H$238,$B$243:$H$243,$B$232,1))</f>
        <v>261.78824999999995</v>
      </c>
      <c r="AL255" s="114">
        <f>IF(AL$233="",AK255,fMkk3($AE255,$AD251,AL$233,$B$229,$B$236:$H$236,$B$247:$H$247,$B$249:$H$249,$B$250:$H270,$B$248:$H$248,$B$245:$H$245,$B$238:$H$238,$B$243:$H$243,$B$232,1))</f>
        <v>261.78824999999995</v>
      </c>
      <c r="AM255" s="121">
        <f>IF(AM$233="",AL255,fMkk3($AE255,$AD251,AM$233,$B$229,$B$236:$H$236,$B$247:$H$247,$B$249:$H$249,$B$250:$H270,$B$248:$H$248,$B$245:$H$245,$B$238:$H$238,$B$243:$H$243,$B$232,1))</f>
        <v>261.78824999999995</v>
      </c>
      <c r="AN255" s="115"/>
      <c r="AO255" s="115"/>
      <c r="AP255" s="116"/>
      <c r="AQ255" s="16"/>
      <c r="AR255" s="124">
        <f t="shared" si="27"/>
        <v>147.07825000000003</v>
      </c>
      <c r="AS255"/>
      <c r="AT255"/>
      <c r="AU255"/>
      <c r="AV255"/>
      <c r="AW255"/>
      <c r="AX255"/>
      <c r="AY255"/>
      <c r="AZ255"/>
      <c r="BA255"/>
      <c r="BB255"/>
      <c r="BC255"/>
      <c r="BD255"/>
    </row>
    <row r="256" spans="1:56" ht="13.5">
      <c r="A256" s="92">
        <f t="shared" si="30"/>
        <v>3</v>
      </c>
      <c r="B256" s="106">
        <f t="shared" si="29"/>
        <v>0</v>
      </c>
      <c r="C256" s="106">
        <f t="shared" si="29"/>
        <v>-199.977</v>
      </c>
      <c r="D256" s="106">
        <f t="shared" si="29"/>
        <v>-200.111</v>
      </c>
      <c r="E256" s="106">
        <f t="shared" si="29"/>
        <v>0</v>
      </c>
      <c r="F256" s="106">
        <f t="shared" si="29"/>
      </c>
      <c r="G256" s="106">
        <f t="shared" si="29"/>
      </c>
      <c r="H256" s="106">
        <f t="shared" si="29"/>
      </c>
      <c r="I256" s="106">
        <f t="shared" si="29"/>
      </c>
      <c r="J256" t="s">
        <v>12</v>
      </c>
      <c r="K256" s="125" t="str">
        <f>IF(A256="","",fMkk2($A256,$B$229,$B$236:$H$236,$B$247:$H$247,$B$249:$H$249,$B$250:$H251,$B$248:$H$248,$B$245:$H$245,$B$238:$H$238,$B$243:$H$243,$B$232,$N$246))</f>
        <v>0000000000130319997713032001110000000000</v>
      </c>
      <c r="L256" s="126" t="str">
        <f>IF(A256="","",fMkk2($A256,$B$229,$B$236:$H$236,$B$247:$H$247,$B$249:$H$249,$B$250:$H251,$B$248:$H$248,$B$245:$H$245,$B$238:$H$238,$B$243:$H$243,$B$232,1))</f>
        <v>0000000000130324375413032411270000000000</v>
      </c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C256" s="2" t="s">
        <v>131</v>
      </c>
      <c r="AD256" s="15">
        <f>INDEX(B$245:H$245,1,AD251+1)</f>
        <v>0.4</v>
      </c>
      <c r="AE256" s="120">
        <f>AD253-MIN(AD254/2,AD256/2)</f>
        <v>6.2</v>
      </c>
      <c r="AF256" s="14">
        <f>IF(AD257&gt;$B$229-1,AF248,AE256+AF249)</f>
        <v>17</v>
      </c>
      <c r="AG256" s="114">
        <f>IF(AG$233="",AE256,fMkk3($AE256,$AD251,AG$233,$B$229,$B$236:$H$236,$B$247:$H$247,$B$249:$H$249,$B$250:$H271,$B$248:$H$248,$B$245:$H$245,$B$238:$H$238,$B$243:$H$243,$B$232,1))</f>
        <v>44.967906250000055</v>
      </c>
      <c r="AH256" s="114">
        <f>IF(AH$233="",AG256,fMkk3($AE256,$AD251,AH$233,$B$229,$B$236:$H$236,$B$247:$H$247,$B$249:$H$249,$B$250:$H271,$B$248:$H$248,$B$245:$H$245,$B$238:$H$238,$B$243:$H$243,$B$232,1))</f>
        <v>25.945593750000032</v>
      </c>
      <c r="AI256" s="114">
        <f>IF(AI$233="",AH256,fMkk3($AE256,$AD251,AI$233,$B$229,$B$236:$H$236,$B$247:$H$247,$B$249:$H$249,$B$250:$H271,$B$248:$H$248,$B$245:$H$245,$B$238:$H$238,$B$243:$H$243,$B$232,1))</f>
        <v>25.944781250000034</v>
      </c>
      <c r="AJ256" s="114">
        <f>IF(AJ$233="",AI256,fMkk3($AE256,$AD251,AJ$233,$B$229,$B$236:$H$236,$B$247:$H$247,$B$249:$H$249,$B$250:$H271,$B$248:$H$248,$B$245:$H$245,$B$238:$H$238,$B$243:$H$243,$B$232,1))</f>
        <v>44.483531250000055</v>
      </c>
      <c r="AK256" s="114">
        <f>IF(AK$233="",AJ256,fMkk3($AE256,$AD251,AK$233,$B$229,$B$236:$H$236,$B$247:$H$247,$B$249:$H$249,$B$250:$H271,$B$248:$H$248,$B$245:$H$245,$B$238:$H$238,$B$243:$H$243,$B$232,1))</f>
        <v>44.483531250000055</v>
      </c>
      <c r="AL256" s="114">
        <f>IF(AL$233="",AK256,fMkk3($AE256,$AD251,AL$233,$B$229,$B$236:$H$236,$B$247:$H$247,$B$249:$H$249,$B$250:$H271,$B$248:$H$248,$B$245:$H$245,$B$238:$H$238,$B$243:$H$243,$B$232,1))</f>
        <v>44.483531250000055</v>
      </c>
      <c r="AM256" s="121">
        <f>IF(AM$233="",AL256,fMkk3($AE256,$AD251,AM$233,$B$229,$B$236:$H$236,$B$247:$H$247,$B$249:$H$249,$B$250:$H271,$B$248:$H$248,$B$245:$H$245,$B$238:$H$238,$B$243:$H$243,$B$232,1))</f>
        <v>44.483531250000055</v>
      </c>
      <c r="AN256" s="115"/>
      <c r="AO256" s="115"/>
      <c r="AP256" s="116"/>
      <c r="AQ256" s="16"/>
      <c r="AR256" s="124">
        <f t="shared" si="27"/>
        <v>25.944781250000034</v>
      </c>
      <c r="AS256"/>
      <c r="AT256"/>
      <c r="AU256"/>
      <c r="AV256"/>
      <c r="AW256"/>
      <c r="AX256"/>
      <c r="AY256"/>
      <c r="AZ256"/>
      <c r="BA256"/>
      <c r="BB256"/>
      <c r="BC256"/>
      <c r="BD256"/>
    </row>
    <row r="257" spans="1:56" ht="13.5">
      <c r="A257" s="92">
        <f t="shared" si="30"/>
        <v>4</v>
      </c>
      <c r="B257" s="106">
        <f t="shared" si="29"/>
        <v>0</v>
      </c>
      <c r="C257" s="106">
        <f t="shared" si="29"/>
        <v>-200.493</v>
      </c>
      <c r="D257" s="106">
        <f t="shared" si="29"/>
        <v>-199.195</v>
      </c>
      <c r="E257" s="106">
        <f t="shared" si="29"/>
        <v>0</v>
      </c>
      <c r="F257" s="106">
        <f t="shared" si="29"/>
      </c>
      <c r="G257" s="106">
        <f t="shared" si="29"/>
      </c>
      <c r="H257" s="106">
        <f t="shared" si="29"/>
      </c>
      <c r="I257" s="106">
        <f t="shared" si="29"/>
      </c>
      <c r="J257" t="s">
        <v>12</v>
      </c>
      <c r="K257" s="125" t="str">
        <f>IF(A257="","",fMkk2($A257,$B$229,$B$236:$H$236,$B$247:$H$247,$B$249:$H$249,$B$250:$H251,$B$248:$H$248,$B$245:$H$245,$B$238:$H$238,$B$243:$H$243,$B$232,$N$246))</f>
        <v>0000000000130320049313031991950000000000</v>
      </c>
      <c r="L257" s="126" t="str">
        <f>IF(A257="","",fMkk2($A257,$B$229,$B$236:$H$236,$B$247:$H$247,$B$249:$H$249,$B$250:$H251,$B$248:$H$248,$B$245:$H$245,$B$238:$H$238,$B$243:$H$243,$B$232,1))</f>
        <v>0000000000130323736413032430870000000000</v>
      </c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C257" s="2" t="s">
        <v>138</v>
      </c>
      <c r="AD257" s="15">
        <f>1+AD249</f>
        <v>3</v>
      </c>
      <c r="AE257" s="120">
        <f>AD253</f>
        <v>6.4</v>
      </c>
      <c r="AF257" s="14">
        <f>IF(AD257&gt;$B$229-1,AF249,AE257+AF249)</f>
        <v>17.200000000000003</v>
      </c>
      <c r="AG257" s="114">
        <f>IF(AG$233="",AE257,fMkk3($AE257,$AD251,AG$233,$B$229,$B$236:$H$236,$B$247:$H$247,$B$249:$H$249,$B$250:$H272,$B$248:$H$248,$B$245:$H$245,$B$238:$H$238,$B$243:$H$243,$B$232,1))</f>
        <v>0</v>
      </c>
      <c r="AH257" s="114">
        <f>IF(AH$233="",AG257,fMkk3($AE257,$AD251,AH$233,$B$229,$B$236:$H$236,$B$247:$H$247,$B$249:$H$249,$B$250:$H272,$B$248:$H$248,$B$245:$H$245,$B$238:$H$238,$B$243:$H$243,$B$232,1))</f>
        <v>0</v>
      </c>
      <c r="AI257" s="114">
        <f>IF(AI$233="",AH257,fMkk3($AE257,$AD251,AI$233,$B$229,$B$236:$H$236,$B$247:$H$247,$B$249:$H$249,$B$250:$H272,$B$248:$H$248,$B$245:$H$245,$B$238:$H$238,$B$243:$H$243,$B$232,1))</f>
        <v>0</v>
      </c>
      <c r="AJ257" s="114">
        <f>IF(AJ$233="",AI257,fMkk3($AE257,$AD251,AJ$233,$B$229,$B$236:$H$236,$B$247:$H$247,$B$249:$H$249,$B$250:$H272,$B$248:$H$248,$B$245:$H$245,$B$238:$H$238,$B$243:$H$243,$B$232,1))</f>
        <v>0</v>
      </c>
      <c r="AK257" s="114">
        <f>IF(AK$233="",AJ257,fMkk3($AE257,$AD251,AK$233,$B$229,$B$236:$H$236,$B$247:$H$247,$B$249:$H$249,$B$250:$H272,$B$248:$H$248,$B$245:$H$245,$B$238:$H$238,$B$243:$H$243,$B$232,1))</f>
        <v>0</v>
      </c>
      <c r="AL257" s="114">
        <f>IF(AL$233="",AK257,fMkk3($AE257,$AD251,AL$233,$B$229,$B$236:$H$236,$B$247:$H$247,$B$249:$H$249,$B$250:$H272,$B$248:$H$248,$B$245:$H$245,$B$238:$H$238,$B$243:$H$243,$B$232,1))</f>
        <v>0</v>
      </c>
      <c r="AM257" s="121">
        <f>IF(AM$233="",AL257,fMkk3($AE257,$AD251,AM$233,$B$229,$B$236:$H$236,$B$247:$H$247,$B$249:$H$249,$B$250:$H272,$B$248:$H$248,$B$245:$H$245,$B$238:$H$238,$B$243:$H$243,$B$232,1))</f>
        <v>0</v>
      </c>
      <c r="AN257" s="115"/>
      <c r="AO257" s="115"/>
      <c r="AP257" s="116"/>
      <c r="AQ257" s="16"/>
      <c r="AR257" s="124">
        <f t="shared" si="27"/>
        <v>0</v>
      </c>
      <c r="AS257"/>
      <c r="AT257"/>
      <c r="AU257"/>
      <c r="AV257"/>
      <c r="AW257"/>
      <c r="AX257"/>
      <c r="AY257"/>
      <c r="AZ257"/>
      <c r="BA257"/>
      <c r="BB257"/>
      <c r="BC257"/>
      <c r="BD257"/>
    </row>
    <row r="258" spans="1:56" ht="13.5">
      <c r="A258" s="92">
        <f t="shared" si="30"/>
      </c>
      <c r="B258" s="106">
        <f t="shared" si="29"/>
      </c>
      <c r="C258" s="106">
        <f t="shared" si="29"/>
      </c>
      <c r="D258" s="106">
        <f t="shared" si="29"/>
      </c>
      <c r="E258" s="106">
        <f t="shared" si="29"/>
      </c>
      <c r="F258" s="106">
        <f t="shared" si="29"/>
      </c>
      <c r="G258" s="106">
        <f t="shared" si="29"/>
      </c>
      <c r="H258" s="106">
        <f t="shared" si="29"/>
      </c>
      <c r="I258" s="106">
        <f t="shared" si="29"/>
      </c>
      <c r="J258" t="s">
        <v>12</v>
      </c>
      <c r="K258" s="110">
        <f>IF(A258="","",fMkk2($A258,$B$229,$B$236:$H$236,$B$247:$H$247,$B$249:$H$249,$B$250:$H252,$B$248:$H$248,$B$245:$H$245,$B$238:$H$238,$B$243:$H$243,$B$232,$N$246))</f>
      </c>
      <c r="L258" s="2">
        <f>IF(A258="","",fMkk2($A258,$B$229,$B$236:$H$236,$B$247:$H$247,$B$249:$H$249,$B$250:$H252,$B$248:$H$248,$B$245:$H$245,$B$238:$H$238,$B$243:$H$243,$B$232,1))</f>
      </c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C258"/>
      <c r="AD258" s="115"/>
      <c r="AE258" s="115"/>
      <c r="AF258" s="14"/>
      <c r="AG258" s="115"/>
      <c r="AH258" s="115"/>
      <c r="AI258" s="115"/>
      <c r="AJ258" s="115"/>
      <c r="AK258" s="115"/>
      <c r="AL258" s="115"/>
      <c r="AM258" s="115"/>
      <c r="AN258" s="115"/>
      <c r="AO258" s="115"/>
      <c r="AP258" s="116"/>
      <c r="AQ258" s="16"/>
      <c r="AR258" s="115"/>
      <c r="AS258"/>
      <c r="AT258"/>
      <c r="AU258"/>
      <c r="AV258"/>
      <c r="AW258"/>
      <c r="AX258"/>
      <c r="AY258"/>
      <c r="AZ258"/>
      <c r="BA258"/>
      <c r="BB258"/>
      <c r="BC258"/>
      <c r="BD258"/>
    </row>
    <row r="259" spans="1:56" ht="13.5">
      <c r="A259" s="92">
        <f t="shared" si="30"/>
      </c>
      <c r="B259" s="106">
        <f t="shared" si="29"/>
      </c>
      <c r="C259" s="106">
        <f t="shared" si="29"/>
      </c>
      <c r="D259" s="106">
        <f t="shared" si="29"/>
      </c>
      <c r="E259" s="106">
        <f t="shared" si="29"/>
      </c>
      <c r="F259" s="106">
        <f t="shared" si="29"/>
      </c>
      <c r="G259" s="106">
        <f t="shared" si="29"/>
      </c>
      <c r="H259" s="106">
        <f t="shared" si="29"/>
      </c>
      <c r="I259" s="106">
        <f t="shared" si="29"/>
      </c>
      <c r="J259" t="s">
        <v>12</v>
      </c>
      <c r="K259" s="110">
        <f>IF(A259="","",fMkk2($A259,$B$229,$B$236:$H$236,$B$247:$H$247,$B$249:$H$249,$B$250:$H253,$B$248:$H$248,$B$245:$H$245,$B$238:$H$238,$B$243:$H$243,$B$232,$N$246))</f>
      </c>
      <c r="L259" s="2">
        <f>IF(A259="","",fMkk2($A259,$B$229,$B$236:$H$236,$B$247:$H$247,$B$249:$H$249,$B$250:$H253,$B$248:$H$248,$B$245:$H$245,$B$238:$H$238,$B$243:$H$243,$B$232,1))</f>
      </c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C259" s="2" t="s">
        <v>127</v>
      </c>
      <c r="AD259" s="119">
        <f>IF(AD251&gt;=$B$229-1,AD251,AD251+1)</f>
        <v>3</v>
      </c>
      <c r="AE259" s="120">
        <v>0</v>
      </c>
      <c r="AF259" s="14">
        <f>IF(AD265&gt;$B$229-1,AF251,AE259+AF257)</f>
        <v>10.8</v>
      </c>
      <c r="AG259" s="114">
        <f>IF(AG$233="",AE259,fMkk3($AE259,$AD259,AG$233,$B$229,$B$236:$H$236,$B$247:$H$247,$B$249:$H$249,$B$250:$H274,$B$248:$H$248,$B$245:$H$245,$B$238:$H$238,$B$243:$H$243,$B$232,1))</f>
        <v>-227.58700000000002</v>
      </c>
      <c r="AH259" s="114">
        <f>IF(AH$233="",AG259,fMkk3($AE259,$AD259,AH$233,$B$229,$B$236:$H$236,$B$247:$H$247,$B$249:$H$249,$B$250:$H274,$B$248:$H$248,$B$245:$H$245,$B$238:$H$238,$B$243:$H$243,$B$232,1))</f>
        <v>-241.101</v>
      </c>
      <c r="AI259" s="114">
        <f>IF(AI$233="",AH259,fMkk3($AE259,$AD259,AI$233,$B$229,$B$236:$H$236,$B$247:$H$247,$B$249:$H$249,$B$250:$H274,$B$248:$H$248,$B$245:$H$245,$B$238:$H$238,$B$243:$H$243,$B$232,1))</f>
        <v>-241.127</v>
      </c>
      <c r="AJ259" s="114">
        <f>IF(AJ$233="",AI259,fMkk3($AE259,$AD259,AJ$233,$B$229,$B$236:$H$236,$B$247:$H$247,$B$249:$H$249,$B$250:$H274,$B$248:$H$248,$B$245:$H$245,$B$238:$H$238,$B$243:$H$243,$B$232,1))</f>
        <v>-243.08700000000002</v>
      </c>
      <c r="AK259" s="114">
        <f>IF(AK$233="",AJ259,fMkk3($AE259,$AD259,AK$233,$B$229,$B$236:$H$236,$B$247:$H$247,$B$249:$H$249,$B$250:$H274,$B$248:$H$248,$B$245:$H$245,$B$238:$H$238,$B$243:$H$243,$B$232,1))</f>
        <v>-243.08700000000002</v>
      </c>
      <c r="AL259" s="114">
        <f>IF(AL$233="",AK259,fMkk3($AE259,$AD259,AL$233,$B$229,$B$236:$H$236,$B$247:$H$247,$B$249:$H$249,$B$250:$H274,$B$248:$H$248,$B$245:$H$245,$B$238:$H$238,$B$243:$H$243,$B$232,1))</f>
        <v>-243.08700000000002</v>
      </c>
      <c r="AM259" s="121">
        <f>IF(AM$233="",AL259,fMkk3($AE259,$AD259,AM$233,$B$229,$B$236:$H$236,$B$247:$H$247,$B$249:$H$249,$B$250:$H274,$B$248:$H$248,$B$245:$H$245,$B$238:$H$238,$B$243:$H$243,$B$232,1))</f>
        <v>-243.08700000000002</v>
      </c>
      <c r="AN259" s="115"/>
      <c r="AO259" s="115"/>
      <c r="AP259" s="116"/>
      <c r="AQ259" s="16"/>
      <c r="AR259" s="124">
        <f aca="true" t="shared" si="31" ref="AR259:AR265">MIN(AG259:AM259)</f>
        <v>-243.08700000000002</v>
      </c>
      <c r="AS259"/>
      <c r="AT259"/>
      <c r="AU259"/>
      <c r="AV259"/>
      <c r="AW259"/>
      <c r="AX259"/>
      <c r="AY259"/>
      <c r="AZ259"/>
      <c r="BA259"/>
      <c r="BB259"/>
      <c r="BC259"/>
      <c r="BD259"/>
    </row>
    <row r="260" spans="1:56" ht="13.5">
      <c r="A260" s="92">
        <f t="shared" si="30"/>
      </c>
      <c r="B260" s="106">
        <f t="shared" si="29"/>
      </c>
      <c r="C260" s="106">
        <f t="shared" si="29"/>
      </c>
      <c r="D260" s="106">
        <f t="shared" si="29"/>
      </c>
      <c r="E260" s="106">
        <f t="shared" si="29"/>
      </c>
      <c r="F260" s="106">
        <f t="shared" si="29"/>
      </c>
      <c r="G260" s="106">
        <f t="shared" si="29"/>
      </c>
      <c r="H260" s="106">
        <f t="shared" si="29"/>
      </c>
      <c r="I260" s="106">
        <f t="shared" si="29"/>
      </c>
      <c r="J260" t="s">
        <v>12</v>
      </c>
      <c r="K260" s="110">
        <f>IF(A260="","",fMkk2($A260,$B$229,$B$236:$H$236,$B$247:$H$247,$B$249:$H$249,$B$250:$H254,$B$248:$H$248,$B$245:$H$245,$B$238:$H$238,$B$243:$H$243,$B$232,$N$246))</f>
      </c>
      <c r="L260" s="2">
        <f>IF(A260="","",fMkk2($A260,$B$229,$B$236:$H$236,$B$247:$H$247,$B$249:$H$249,$B$250:$H254,$B$248:$H$248,$B$245:$H$245,$B$238:$H$238,$B$243:$H$243,$B$232,1))</f>
      </c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C260" s="2" t="s">
        <v>128</v>
      </c>
      <c r="AD260" s="15">
        <f>INDEX(B$236:H$236,1,AD259)</f>
        <v>6</v>
      </c>
      <c r="AE260" s="120">
        <f>MIN(AD263/2,AD262,2)</f>
        <v>0.2</v>
      </c>
      <c r="AF260" s="14">
        <f>IF(AD265&gt;$B$229-1,AF252,AE260+AF257)</f>
        <v>11</v>
      </c>
      <c r="AG260" s="114">
        <f>IF(AG$233="",AE260,fMkk3($AE260,$AD259,AG$233,$B$229,$B$236:$H$236,$B$247:$H$247,$B$249:$H$249,$B$250:$H275,$B$248:$H$248,$B$245:$H$245,$B$238:$H$238,$B$243:$H$243,$B$232,1))</f>
        <v>-168.39490625</v>
      </c>
      <c r="AH260" s="114">
        <f>IF(AH$233="",AG260,fMkk3($AE260,$AD259,AH$233,$B$229,$B$236:$H$236,$B$247:$H$247,$B$249:$H$249,$B$250:$H275,$B$248:$H$248,$B$245:$H$245,$B$238:$H$238,$B$243:$H$243,$B$232,1))</f>
        <v>-200.08659375000002</v>
      </c>
      <c r="AI260" s="114">
        <f>IF(AI$233="",AH260,fMkk3($AE260,$AD259,AI$233,$B$229,$B$236:$H$236,$B$247:$H$247,$B$249:$H$249,$B$250:$H275,$B$248:$H$248,$B$245:$H$245,$B$238:$H$238,$B$243:$H$243,$B$232,1))</f>
        <v>-200.11178124999998</v>
      </c>
      <c r="AJ260" s="114">
        <f>IF(AJ$233="",AI260,fMkk3($AE260,$AD259,AJ$233,$B$229,$B$236:$H$236,$B$247:$H$247,$B$249:$H$249,$B$250:$H275,$B$248:$H$248,$B$245:$H$245,$B$238:$H$238,$B$243:$H$243,$B$232,1))</f>
        <v>-183.41053125</v>
      </c>
      <c r="AK260" s="114">
        <f>IF(AK$233="",AJ260,fMkk3($AE260,$AD259,AK$233,$B$229,$B$236:$H$236,$B$247:$H$247,$B$249:$H$249,$B$250:$H275,$B$248:$H$248,$B$245:$H$245,$B$238:$H$238,$B$243:$H$243,$B$232,1))</f>
        <v>-183.41053125</v>
      </c>
      <c r="AL260" s="114">
        <f>IF(AL$233="",AK260,fMkk3($AE260,$AD259,AL$233,$B$229,$B$236:$H$236,$B$247:$H$247,$B$249:$H$249,$B$250:$H275,$B$248:$H$248,$B$245:$H$245,$B$238:$H$238,$B$243:$H$243,$B$232,1))</f>
        <v>-183.41053125</v>
      </c>
      <c r="AM260" s="121">
        <f>IF(AM$233="",AL260,fMkk3($AE260,$AD259,AM$233,$B$229,$B$236:$H$236,$B$247:$H$247,$B$249:$H$249,$B$250:$H275,$B$248:$H$248,$B$245:$H$245,$B$238:$H$238,$B$243:$H$243,$B$232,1))</f>
        <v>-183.41053125</v>
      </c>
      <c r="AN260" s="115"/>
      <c r="AO260" s="115"/>
      <c r="AP260" s="116"/>
      <c r="AQ260" s="16"/>
      <c r="AR260" s="124">
        <f t="shared" si="31"/>
        <v>-200.11178124999998</v>
      </c>
      <c r="AS260"/>
      <c r="AT260"/>
      <c r="AU260"/>
      <c r="AV260"/>
      <c r="AW260"/>
      <c r="AX260"/>
      <c r="AY260"/>
      <c r="AZ260"/>
      <c r="BA260"/>
      <c r="BB260"/>
      <c r="BC260"/>
      <c r="BD260"/>
    </row>
    <row r="261" spans="1:56" ht="13.5">
      <c r="A261" s="92">
        <f t="shared" si="30"/>
      </c>
      <c r="B261" s="107">
        <f t="shared" si="29"/>
      </c>
      <c r="C261" s="107">
        <f t="shared" si="29"/>
      </c>
      <c r="D261" s="107">
        <f t="shared" si="29"/>
      </c>
      <c r="E261" s="107">
        <f t="shared" si="29"/>
      </c>
      <c r="F261" s="107">
        <f t="shared" si="29"/>
      </c>
      <c r="G261" s="107">
        <f t="shared" si="29"/>
      </c>
      <c r="H261" s="107">
        <f t="shared" si="29"/>
      </c>
      <c r="I261" s="107">
        <f t="shared" si="29"/>
      </c>
      <c r="J261" t="s">
        <v>12</v>
      </c>
      <c r="K261" s="110">
        <f>IF(A261="","",fMkk2($A261,$B$229,$B$236:$H$236,$B$247:$H$247,$B$249:$H$249,$B$250:$H255,$B$248:$H$248,$B$245:$H$245,$B$238:$H$238,$B$243:$H$243,$B$232,$N$246))</f>
      </c>
      <c r="L261" s="2">
        <f>IF(A261="","",fMkk2($A261,$B$229,$B$236:$H$236,$B$247:$H$247,$B$249:$H$249,$B$250:$H255,$B$248:$H$248,$B$245:$H$245,$B$238:$H$238,$B$243:$H$243,$B$232,1))</f>
      </c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C261" s="2" t="s">
        <v>129</v>
      </c>
      <c r="AD261" s="15">
        <f>INDEX(B$247:H$247,1,AD259)</f>
        <v>6.4</v>
      </c>
      <c r="AE261" s="120">
        <f>AD261/4</f>
        <v>1.6</v>
      </c>
      <c r="AF261" s="14">
        <f>IF(AD265&gt;$B$229-1,AF253,AE261+AF257)</f>
        <v>12.4</v>
      </c>
      <c r="AG261" s="114">
        <f>IF(AG$233="",AE261,fMkk3($AE261,$AD259,AG$233,$B$229,$B$236:$H$236,$B$247:$H$247,$B$249:$H$249,$B$250:$H276,$B$248:$H$248,$B$245:$H$245,$B$238:$H$238,$B$243:$H$243,$B$232,1))</f>
        <v>151.86975000000004</v>
      </c>
      <c r="AH261" s="114">
        <f>IF(AH$233="",AG261,fMkk3($AE261,$AD259,AH$233,$B$229,$B$236:$H$236,$B$247:$H$247,$B$249:$H$249,$B$250:$H276,$B$248:$H$248,$B$245:$H$245,$B$238:$H$238,$B$243:$H$243,$B$232,1))</f>
        <v>26.534250000000043</v>
      </c>
      <c r="AI261" s="114">
        <f>IF(AI$233="",AH261,fMkk3($AE261,$AD259,AI$233,$B$229,$B$236:$H$236,$B$247:$H$247,$B$249:$H$249,$B$250:$H276,$B$248:$H$248,$B$245:$H$245,$B$238:$H$238,$B$243:$H$243,$B$232,1))</f>
        <v>26.51475000000002</v>
      </c>
      <c r="AJ261" s="114">
        <f>IF(AJ$233="",AI261,fMkk3($AE261,$AD259,AJ$233,$B$229,$B$236:$H$236,$B$247:$H$247,$B$249:$H$249,$B$250:$H276,$B$248:$H$248,$B$245:$H$245,$B$238:$H$238,$B$243:$H$243,$B$232,1))</f>
        <v>140.24475000000004</v>
      </c>
      <c r="AK261" s="114">
        <f>IF(AK$233="",AJ261,fMkk3($AE261,$AD259,AK$233,$B$229,$B$236:$H$236,$B$247:$H$247,$B$249:$H$249,$B$250:$H276,$B$248:$H$248,$B$245:$H$245,$B$238:$H$238,$B$243:$H$243,$B$232,1))</f>
        <v>140.24475000000004</v>
      </c>
      <c r="AL261" s="114">
        <f>IF(AL$233="",AK261,fMkk3($AE261,$AD259,AL$233,$B$229,$B$236:$H$236,$B$247:$H$247,$B$249:$H$249,$B$250:$H276,$B$248:$H$248,$B$245:$H$245,$B$238:$H$238,$B$243:$H$243,$B$232,1))</f>
        <v>140.24475000000004</v>
      </c>
      <c r="AM261" s="121">
        <f>IF(AM$233="",AL261,fMkk3($AE261,$AD259,AM$233,$B$229,$B$236:$H$236,$B$247:$H$247,$B$249:$H$249,$B$250:$H276,$B$248:$H$248,$B$245:$H$245,$B$238:$H$238,$B$243:$H$243,$B$232,1))</f>
        <v>140.24475000000004</v>
      </c>
      <c r="AN261" s="115"/>
      <c r="AO261" s="115"/>
      <c r="AP261" s="116"/>
      <c r="AQ261" s="16"/>
      <c r="AR261" s="124">
        <f t="shared" si="31"/>
        <v>26.51475000000002</v>
      </c>
      <c r="AS261"/>
      <c r="AT261"/>
      <c r="AU261"/>
      <c r="AV261"/>
      <c r="AW261"/>
      <c r="AX261"/>
      <c r="AY261"/>
      <c r="AZ261"/>
      <c r="BA261"/>
      <c r="BB261"/>
      <c r="BC261"/>
      <c r="BD261"/>
    </row>
    <row r="262" spans="1:56" ht="12">
      <c r="A262" s="108" t="str">
        <f>IF($N246&gt;4,"Maximum","Minimum")</f>
        <v>Minimum</v>
      </c>
      <c r="B262" s="109">
        <f aca="true" t="shared" si="32" ref="B262:I262">IF(B253="","",IF($N246&gt;4,MAX(B254:B261),MIN(B254:B261)))</f>
        <v>0</v>
      </c>
      <c r="C262" s="109">
        <f t="shared" si="32"/>
        <v>-200.493</v>
      </c>
      <c r="D262" s="109">
        <f t="shared" si="32"/>
        <v>-200.111</v>
      </c>
      <c r="E262" s="109">
        <f t="shared" si="32"/>
        <v>0</v>
      </c>
      <c r="F262" s="109">
        <f t="shared" si="32"/>
      </c>
      <c r="G262" s="109">
        <f t="shared" si="32"/>
      </c>
      <c r="H262" s="109">
        <f t="shared" si="32"/>
      </c>
      <c r="I262" s="109">
        <f t="shared" si="32"/>
      </c>
      <c r="J262" t="s">
        <v>12</v>
      </c>
      <c r="K262"/>
      <c r="L262"/>
      <c r="N262" s="34"/>
      <c r="O262"/>
      <c r="P262"/>
      <c r="Q262"/>
      <c r="R262"/>
      <c r="S262"/>
      <c r="T262"/>
      <c r="U262"/>
      <c r="V262"/>
      <c r="W262"/>
      <c r="X262"/>
      <c r="Y262"/>
      <c r="Z262"/>
      <c r="AA262"/>
      <c r="AC262" s="2" t="s">
        <v>25</v>
      </c>
      <c r="AD262" s="15">
        <f>INDEX(B$238:H$238,1,AD259)</f>
        <v>0.7</v>
      </c>
      <c r="AE262" s="120">
        <f>AD261/2</f>
        <v>3.2</v>
      </c>
      <c r="AF262" s="14">
        <f>IF(AD265&gt;$B$229-1,AF254,AE262+AF257)</f>
        <v>14</v>
      </c>
      <c r="AG262" s="114">
        <f>IF(AG$233="",AE262,fMkk3($AE262,$AD259,AG$233,$B$229,$B$236:$H$236,$B$247:$H$247,$B$249:$H$249,$B$250:$H277,$B$248:$H$248,$B$245:$H$245,$B$238:$H$238,$B$243:$H$243,$B$232,1))</f>
        <v>316.28650000000005</v>
      </c>
      <c r="AH262" s="114">
        <f>IF(AH$233="",AG262,fMkk3($AE262,$AD259,AH$233,$B$229,$B$236:$H$236,$B$247:$H$247,$B$249:$H$249,$B$250:$H277,$B$248:$H$248,$B$245:$H$245,$B$238:$H$238,$B$243:$H$243,$B$232,1))</f>
        <v>155.92950000000002</v>
      </c>
      <c r="AI262" s="114">
        <f>IF(AI$233="",AH262,fMkk3($AE262,$AD259,AI$233,$B$229,$B$236:$H$236,$B$247:$H$247,$B$249:$H$249,$B$250:$H277,$B$248:$H$248,$B$245:$H$245,$B$238:$H$238,$B$243:$H$243,$B$232,1))</f>
        <v>155.9165</v>
      </c>
      <c r="AJ262" s="114">
        <f>IF(AJ$233="",AI262,fMkk3($AE262,$AD259,AJ$233,$B$229,$B$236:$H$236,$B$247:$H$247,$B$249:$H$249,$B$250:$H277,$B$248:$H$248,$B$245:$H$245,$B$238:$H$238,$B$243:$H$243,$B$232,1))</f>
        <v>308.53650000000005</v>
      </c>
      <c r="AK262" s="114">
        <f>IF(AK$233="",AJ262,fMkk3($AE262,$AD259,AK$233,$B$229,$B$236:$H$236,$B$247:$H$247,$B$249:$H$249,$B$250:$H277,$B$248:$H$248,$B$245:$H$245,$B$238:$H$238,$B$243:$H$243,$B$232,1))</f>
        <v>308.53650000000005</v>
      </c>
      <c r="AL262" s="114">
        <f>IF(AL$233="",AK262,fMkk3($AE262,$AD259,AL$233,$B$229,$B$236:$H$236,$B$247:$H$247,$B$249:$H$249,$B$250:$H277,$B$248:$H$248,$B$245:$H$245,$B$238:$H$238,$B$243:$H$243,$B$232,1))</f>
        <v>308.53650000000005</v>
      </c>
      <c r="AM262" s="121">
        <f>IF(AM$233="",AL262,fMkk3($AE262,$AD259,AM$233,$B$229,$B$236:$H$236,$B$247:$H$247,$B$249:$H$249,$B$250:$H277,$B$248:$H$248,$B$245:$H$245,$B$238:$H$238,$B$243:$H$243,$B$232,1))</f>
        <v>308.53650000000005</v>
      </c>
      <c r="AN262" s="115"/>
      <c r="AO262" s="115"/>
      <c r="AP262" s="116"/>
      <c r="AQ262" s="16"/>
      <c r="AR262" s="124">
        <f t="shared" si="31"/>
        <v>155.9165</v>
      </c>
      <c r="AS262"/>
      <c r="AT262"/>
      <c r="AU262"/>
      <c r="AV262"/>
      <c r="AW262"/>
      <c r="AX262"/>
      <c r="AY262"/>
      <c r="AZ262"/>
      <c r="BA262"/>
      <c r="BB262"/>
      <c r="BC262"/>
      <c r="BD262"/>
    </row>
    <row r="263" spans="1:56" ht="12">
      <c r="A263" s="88" t="str">
        <f>"Moments "&amp;IF(B232=0,"sans","avec")&amp;" plafonnement sur appuis"</f>
        <v>Moments avec plafonnement sur appuis</v>
      </c>
      <c r="C263" s="1"/>
      <c r="D263" s="1"/>
      <c r="H263" s="1"/>
      <c r="M263"/>
      <c r="N263" s="34"/>
      <c r="O263"/>
      <c r="P263"/>
      <c r="Q263"/>
      <c r="R263"/>
      <c r="S263"/>
      <c r="T263"/>
      <c r="U263"/>
      <c r="V263"/>
      <c r="W263"/>
      <c r="X263"/>
      <c r="Y263"/>
      <c r="Z263"/>
      <c r="AA263"/>
      <c r="AC263" s="2" t="s">
        <v>130</v>
      </c>
      <c r="AD263" s="15">
        <f>INDEX(B$245:H$245,1,AD259)</f>
        <v>0.4</v>
      </c>
      <c r="AE263" s="120">
        <f>AD261*0.75</f>
        <v>4.800000000000001</v>
      </c>
      <c r="AF263" s="14">
        <f>IF(AD265&gt;$B$229-1,AF255,AE263+AF257)</f>
        <v>15.600000000000001</v>
      </c>
      <c r="AG263" s="114">
        <f>IF(AG$233="",AE263,fMkk3($AE263,$AD259,AG$233,$B$229,$B$236:$H$236,$B$247:$H$247,$B$249:$H$249,$B$250:$H278,$B$248:$H$248,$B$245:$H$245,$B$238:$H$238,$B$243:$H$243,$B$232,1))</f>
        <v>265.66324999999995</v>
      </c>
      <c r="AH263" s="114">
        <f>IF(AH$233="",AG263,fMkk3($AE263,$AD259,AH$233,$B$229,$B$236:$H$236,$B$247:$H$247,$B$249:$H$249,$B$250:$H278,$B$248:$H$248,$B$245:$H$245,$B$238:$H$238,$B$243:$H$243,$B$232,1))</f>
        <v>147.08475</v>
      </c>
      <c r="AI263" s="114">
        <f>IF(AI$233="",AH263,fMkk3($AE263,$AD259,AI$233,$B$229,$B$236:$H$236,$B$247:$H$247,$B$249:$H$249,$B$250:$H278,$B$248:$H$248,$B$245:$H$245,$B$238:$H$238,$B$243:$H$243,$B$232,1))</f>
        <v>147.07825000000003</v>
      </c>
      <c r="AJ263" s="114">
        <f>IF(AJ$233="",AI263,fMkk3($AE263,$AD259,AJ$233,$B$229,$B$236:$H$236,$B$247:$H$247,$B$249:$H$249,$B$250:$H278,$B$248:$H$248,$B$245:$H$245,$B$238:$H$238,$B$243:$H$243,$B$232,1))</f>
        <v>261.78824999999995</v>
      </c>
      <c r="AK263" s="114">
        <f>IF(AK$233="",AJ263,fMkk3($AE263,$AD259,AK$233,$B$229,$B$236:$H$236,$B$247:$H$247,$B$249:$H$249,$B$250:$H278,$B$248:$H$248,$B$245:$H$245,$B$238:$H$238,$B$243:$H$243,$B$232,1))</f>
        <v>261.78824999999995</v>
      </c>
      <c r="AL263" s="114">
        <f>IF(AL$233="",AK263,fMkk3($AE263,$AD259,AL$233,$B$229,$B$236:$H$236,$B$247:$H$247,$B$249:$H$249,$B$250:$H278,$B$248:$H$248,$B$245:$H$245,$B$238:$H$238,$B$243:$H$243,$B$232,1))</f>
        <v>261.78824999999995</v>
      </c>
      <c r="AM263" s="121">
        <f>IF(AM$233="",AL263,fMkk3($AE263,$AD259,AM$233,$B$229,$B$236:$H$236,$B$247:$H$247,$B$249:$H$249,$B$250:$H278,$B$248:$H$248,$B$245:$H$245,$B$238:$H$238,$B$243:$H$243,$B$232,1))</f>
        <v>261.78824999999995</v>
      </c>
      <c r="AN263" s="115"/>
      <c r="AO263" s="115"/>
      <c r="AP263" s="116"/>
      <c r="AQ263" s="16"/>
      <c r="AR263" s="124">
        <f t="shared" si="31"/>
        <v>147.07825000000003</v>
      </c>
      <c r="AS263"/>
      <c r="AT263"/>
      <c r="AU263"/>
      <c r="AV263"/>
      <c r="AW263"/>
      <c r="AX263"/>
      <c r="AY263"/>
      <c r="AZ263"/>
      <c r="BA263"/>
      <c r="BB263"/>
      <c r="BC263"/>
      <c r="BD263"/>
    </row>
    <row r="264" spans="3:56" ht="13.5">
      <c r="C264" s="1"/>
      <c r="D264" s="1"/>
      <c r="H264" s="1"/>
      <c r="M264" s="92">
        <f>IF(M263&gt;=N$229,"",1+M263)</f>
      </c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C264" s="2" t="s">
        <v>131</v>
      </c>
      <c r="AD264" s="15">
        <f>INDEX(B$245:H$245,1,AD259+1)</f>
        <v>0.4</v>
      </c>
      <c r="AE264" s="120">
        <f>AD261-MIN(AD262/2,AD264/2)</f>
        <v>6.2</v>
      </c>
      <c r="AF264" s="14">
        <f>IF(AD265&gt;$B$229-1,AF256,AE264+AF257)</f>
        <v>17</v>
      </c>
      <c r="AG264" s="114">
        <f>IF(AG$233="",AE264,fMkk3($AE264,$AD259,AG$233,$B$229,$B$236:$H$236,$B$247:$H$247,$B$249:$H$249,$B$250:$H279,$B$248:$H$248,$B$245:$H$245,$B$238:$H$238,$B$243:$H$243,$B$232,1))</f>
        <v>44.967906250000055</v>
      </c>
      <c r="AH264" s="114">
        <f>IF(AH$233="",AG264,fMkk3($AE264,$AD259,AH$233,$B$229,$B$236:$H$236,$B$247:$H$247,$B$249:$H$249,$B$250:$H279,$B$248:$H$248,$B$245:$H$245,$B$238:$H$238,$B$243:$H$243,$B$232,1))</f>
        <v>25.945593750000032</v>
      </c>
      <c r="AI264" s="114">
        <f>IF(AI$233="",AH264,fMkk3($AE264,$AD259,AI$233,$B$229,$B$236:$H$236,$B$247:$H$247,$B$249:$H$249,$B$250:$H279,$B$248:$H$248,$B$245:$H$245,$B$238:$H$238,$B$243:$H$243,$B$232,1))</f>
        <v>25.944781250000034</v>
      </c>
      <c r="AJ264" s="114">
        <f>IF(AJ$233="",AI264,fMkk3($AE264,$AD259,AJ$233,$B$229,$B$236:$H$236,$B$247:$H$247,$B$249:$H$249,$B$250:$H279,$B$248:$H$248,$B$245:$H$245,$B$238:$H$238,$B$243:$H$243,$B$232,1))</f>
        <v>44.483531250000055</v>
      </c>
      <c r="AK264" s="114">
        <f>IF(AK$233="",AJ264,fMkk3($AE264,$AD259,AK$233,$B$229,$B$236:$H$236,$B$247:$H$247,$B$249:$H$249,$B$250:$H279,$B$248:$H$248,$B$245:$H$245,$B$238:$H$238,$B$243:$H$243,$B$232,1))</f>
        <v>44.483531250000055</v>
      </c>
      <c r="AL264" s="114">
        <f>IF(AL$233="",AK264,fMkk3($AE264,$AD259,AL$233,$B$229,$B$236:$H$236,$B$247:$H$247,$B$249:$H$249,$B$250:$H279,$B$248:$H$248,$B$245:$H$245,$B$238:$H$238,$B$243:$H$243,$B$232,1))</f>
        <v>44.483531250000055</v>
      </c>
      <c r="AM264" s="121">
        <f>IF(AM$233="",AL264,fMkk3($AE264,$AD259,AM$233,$B$229,$B$236:$H$236,$B$247:$H$247,$B$249:$H$249,$B$250:$H279,$B$248:$H$248,$B$245:$H$245,$B$238:$H$238,$B$243:$H$243,$B$232,1))</f>
        <v>44.483531250000055</v>
      </c>
      <c r="AN264" s="115"/>
      <c r="AO264" s="115"/>
      <c r="AP264" s="116"/>
      <c r="AQ264" s="16"/>
      <c r="AR264" s="124">
        <f t="shared" si="31"/>
        <v>25.944781250000034</v>
      </c>
      <c r="AS264"/>
      <c r="AT264"/>
      <c r="AU264"/>
      <c r="AV264"/>
      <c r="AW264"/>
      <c r="AX264"/>
      <c r="AY264"/>
      <c r="AZ264"/>
      <c r="BA264"/>
      <c r="BB264"/>
      <c r="BC264"/>
      <c r="BD264"/>
    </row>
    <row r="265" spans="1:56" ht="13.5">
      <c r="A265"/>
      <c r="B265"/>
      <c r="C265"/>
      <c r="D265"/>
      <c r="E265"/>
      <c r="F265"/>
      <c r="G265"/>
      <c r="H265"/>
      <c r="I265"/>
      <c r="J265"/>
      <c r="K265"/>
      <c r="L265"/>
      <c r="M265" s="92">
        <f>IF(M264&gt;=N$229,"",1+M264)</f>
      </c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C265" s="2" t="s">
        <v>138</v>
      </c>
      <c r="AD265" s="15">
        <f>1+AD257</f>
        <v>4</v>
      </c>
      <c r="AE265" s="120">
        <f>AD261</f>
        <v>6.4</v>
      </c>
      <c r="AF265" s="14">
        <f>IF(AD265&gt;$B$229-1,AF257,AE265+AF257)</f>
        <v>17.200000000000003</v>
      </c>
      <c r="AG265" s="114">
        <f>IF(AG$233="",AE265,fMkk3($AE265,$AD259,AG$233,$B$229,$B$236:$H$236,$B$247:$H$247,$B$249:$H$249,$B$250:$H280,$B$248:$H$248,$B$245:$H$245,$B$238:$H$238,$B$243:$H$243,$B$232,1))</f>
        <v>0</v>
      </c>
      <c r="AH265" s="114">
        <f>IF(AH$233="",AG265,fMkk3($AE265,$AD259,AH$233,$B$229,$B$236:$H$236,$B$247:$H$247,$B$249:$H$249,$B$250:$H280,$B$248:$H$248,$B$245:$H$245,$B$238:$H$238,$B$243:$H$243,$B$232,1))</f>
        <v>0</v>
      </c>
      <c r="AI265" s="114">
        <f>IF(AI$233="",AH265,fMkk3($AE265,$AD259,AI$233,$B$229,$B$236:$H$236,$B$247:$H$247,$B$249:$H$249,$B$250:$H280,$B$248:$H$248,$B$245:$H$245,$B$238:$H$238,$B$243:$H$243,$B$232,1))</f>
        <v>0</v>
      </c>
      <c r="AJ265" s="114">
        <f>IF(AJ$233="",AI265,fMkk3($AE265,$AD259,AJ$233,$B$229,$B$236:$H$236,$B$247:$H$247,$B$249:$H$249,$B$250:$H280,$B$248:$H$248,$B$245:$H$245,$B$238:$H$238,$B$243:$H$243,$B$232,1))</f>
        <v>0</v>
      </c>
      <c r="AK265" s="114">
        <f>IF(AK$233="",AJ265,fMkk3($AE265,$AD259,AK$233,$B$229,$B$236:$H$236,$B$247:$H$247,$B$249:$H$249,$B$250:$H280,$B$248:$H$248,$B$245:$H$245,$B$238:$H$238,$B$243:$H$243,$B$232,1))</f>
        <v>0</v>
      </c>
      <c r="AL265" s="114">
        <f>IF(AL$233="",AK265,fMkk3($AE265,$AD259,AL$233,$B$229,$B$236:$H$236,$B$247:$H$247,$B$249:$H$249,$B$250:$H280,$B$248:$H$248,$B$245:$H$245,$B$238:$H$238,$B$243:$H$243,$B$232,1))</f>
        <v>0</v>
      </c>
      <c r="AM265" s="121">
        <f>IF(AM$233="",AL265,fMkk3($AE265,$AD259,AM$233,$B$229,$B$236:$H$236,$B$247:$H$247,$B$249:$H$249,$B$250:$H280,$B$248:$H$248,$B$245:$H$245,$B$238:$H$238,$B$243:$H$243,$B$232,1))</f>
        <v>0</v>
      </c>
      <c r="AN265" s="115"/>
      <c r="AO265" s="115"/>
      <c r="AP265" s="116"/>
      <c r="AQ265" s="16"/>
      <c r="AR265" s="124">
        <f t="shared" si="31"/>
        <v>0</v>
      </c>
      <c r="AS265"/>
      <c r="AT265"/>
      <c r="AU265"/>
      <c r="AV265"/>
      <c r="AW265"/>
      <c r="AX265"/>
      <c r="AY265"/>
      <c r="AZ265"/>
      <c r="BA265"/>
      <c r="BB265"/>
      <c r="BC265"/>
      <c r="BD265"/>
    </row>
    <row r="266" spans="1:56" ht="1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C266"/>
      <c r="AD266" s="115"/>
      <c r="AE266" s="115"/>
      <c r="AF266" s="14"/>
      <c r="AG266" s="115"/>
      <c r="AH266" s="115"/>
      <c r="AI266" s="115"/>
      <c r="AJ266" s="115"/>
      <c r="AK266" s="115"/>
      <c r="AL266" s="115"/>
      <c r="AM266" s="115"/>
      <c r="AN266" s="115"/>
      <c r="AO266" s="115"/>
      <c r="AP266" s="116"/>
      <c r="AQ266" s="16"/>
      <c r="AR266" s="115"/>
      <c r="AS266"/>
      <c r="AT266"/>
      <c r="AU266"/>
      <c r="AV266"/>
      <c r="AW266"/>
      <c r="AX266"/>
      <c r="AY266"/>
      <c r="AZ266"/>
      <c r="BA266"/>
      <c r="BB266"/>
      <c r="BC266"/>
      <c r="BD266"/>
    </row>
    <row r="267" spans="1:56" ht="1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C267" s="2" t="s">
        <v>127</v>
      </c>
      <c r="AD267" s="119">
        <f>IF(AD259&gt;=$B$229-1,AD259,AD259+1)</f>
        <v>3</v>
      </c>
      <c r="AE267" s="120">
        <v>0</v>
      </c>
      <c r="AF267" s="14">
        <f>IF(AD273&gt;$B$229-1,AF259,AE267+AF265)</f>
        <v>10.8</v>
      </c>
      <c r="AG267" s="114">
        <f>IF(AG$233="",AE267,fMkk3($AE267,$AD267,AG$233,$B$229,$B$236:$H$236,$B$247:$H$247,$B$249:$H$249,$B$250:$H282,$B$248:$H$248,$B$245:$H$245,$B$238:$H$238,$B$243:$H$243,$B$232,1))</f>
        <v>-227.58700000000002</v>
      </c>
      <c r="AH267" s="114">
        <f>IF(AH$233="",AG267,fMkk3($AE267,$AD267,AH$233,$B$229,$B$236:$H$236,$B$247:$H$247,$B$249:$H$249,$B$250:$H282,$B$248:$H$248,$B$245:$H$245,$B$238:$H$238,$B$243:$H$243,$B$232,1))</f>
        <v>-241.101</v>
      </c>
      <c r="AI267" s="114">
        <f>IF(AI$233="",AH267,fMkk3($AE267,$AD267,AI$233,$B$229,$B$236:$H$236,$B$247:$H$247,$B$249:$H$249,$B$250:$H282,$B$248:$H$248,$B$245:$H$245,$B$238:$H$238,$B$243:$H$243,$B$232,1))</f>
        <v>-241.127</v>
      </c>
      <c r="AJ267" s="114">
        <f>IF(AJ$233="",AI267,fMkk3($AE267,$AD267,AJ$233,$B$229,$B$236:$H$236,$B$247:$H$247,$B$249:$H$249,$B$250:$H282,$B$248:$H$248,$B$245:$H$245,$B$238:$H$238,$B$243:$H$243,$B$232,1))</f>
        <v>-243.08700000000002</v>
      </c>
      <c r="AK267" s="114">
        <f>IF(AK$233="",AJ267,fMkk3($AE267,$AD267,AK$233,$B$229,$B$236:$H$236,$B$247:$H$247,$B$249:$H$249,$B$250:$H282,$B$248:$H$248,$B$245:$H$245,$B$238:$H$238,$B$243:$H$243,$B$232,1))</f>
        <v>-243.08700000000002</v>
      </c>
      <c r="AL267" s="114">
        <f>IF(AL$233="",AK267,fMkk3($AE267,$AD267,AL$233,$B$229,$B$236:$H$236,$B$247:$H$247,$B$249:$H$249,$B$250:$H282,$B$248:$H$248,$B$245:$H$245,$B$238:$H$238,$B$243:$H$243,$B$232,1))</f>
        <v>-243.08700000000002</v>
      </c>
      <c r="AM267" s="121">
        <f>IF(AM$233="",AL267,fMkk3($AE267,$AD267,AM$233,$B$229,$B$236:$H$236,$B$247:$H$247,$B$249:$H$249,$B$250:$H282,$B$248:$H$248,$B$245:$H$245,$B$238:$H$238,$B$243:$H$243,$B$232,1))</f>
        <v>-243.08700000000002</v>
      </c>
      <c r="AN267" s="115"/>
      <c r="AO267" s="115"/>
      <c r="AP267" s="116"/>
      <c r="AQ267" s="16"/>
      <c r="AR267" s="124">
        <f aca="true" t="shared" si="33" ref="AR267:AR273">MIN(AG267:AM267)</f>
        <v>-243.08700000000002</v>
      </c>
      <c r="AS267"/>
      <c r="AT267"/>
      <c r="AU267"/>
      <c r="AV267"/>
      <c r="AW267"/>
      <c r="AX267"/>
      <c r="AY267"/>
      <c r="AZ267"/>
      <c r="BA267"/>
      <c r="BB267"/>
      <c r="BC267"/>
      <c r="BD267"/>
    </row>
    <row r="268" spans="2:56" ht="12">
      <c r="B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C268" s="2" t="s">
        <v>128</v>
      </c>
      <c r="AD268" s="15">
        <f>INDEX(B$236:H$236,1,AD267)</f>
        <v>6</v>
      </c>
      <c r="AE268" s="120">
        <f>MIN(AD271/2,AD270,2)</f>
        <v>0.2</v>
      </c>
      <c r="AF268" s="14">
        <f>IF(AD273&gt;$B$229-1,AF260,AE268+AF265)</f>
        <v>11</v>
      </c>
      <c r="AG268" s="114">
        <f>IF(AG$233="",AE268,fMkk3($AE268,$AD267,AG$233,$B$229,$B$236:$H$236,$B$247:$H$247,$B$249:$H$249,$B$250:$H283,$B$248:$H$248,$B$245:$H$245,$B$238:$H$238,$B$243:$H$243,$B$232,1))</f>
        <v>-168.39490625</v>
      </c>
      <c r="AH268" s="114">
        <f>IF(AH$233="",AG268,fMkk3($AE268,$AD267,AH$233,$B$229,$B$236:$H$236,$B$247:$H$247,$B$249:$H$249,$B$250:$H283,$B$248:$H$248,$B$245:$H$245,$B$238:$H$238,$B$243:$H$243,$B$232,1))</f>
        <v>-200.08659375000002</v>
      </c>
      <c r="AI268" s="114">
        <f>IF(AI$233="",AH268,fMkk3($AE268,$AD267,AI$233,$B$229,$B$236:$H$236,$B$247:$H$247,$B$249:$H$249,$B$250:$H283,$B$248:$H$248,$B$245:$H$245,$B$238:$H$238,$B$243:$H$243,$B$232,1))</f>
        <v>-200.11178124999998</v>
      </c>
      <c r="AJ268" s="114">
        <f>IF(AJ$233="",AI268,fMkk3($AE268,$AD267,AJ$233,$B$229,$B$236:$H$236,$B$247:$H$247,$B$249:$H$249,$B$250:$H283,$B$248:$H$248,$B$245:$H$245,$B$238:$H$238,$B$243:$H$243,$B$232,1))</f>
        <v>-183.41053125</v>
      </c>
      <c r="AK268" s="114">
        <f>IF(AK$233="",AJ268,fMkk3($AE268,$AD267,AK$233,$B$229,$B$236:$H$236,$B$247:$H$247,$B$249:$H$249,$B$250:$H283,$B$248:$H$248,$B$245:$H$245,$B$238:$H$238,$B$243:$H$243,$B$232,1))</f>
        <v>-183.41053125</v>
      </c>
      <c r="AL268" s="114">
        <f>IF(AL$233="",AK268,fMkk3($AE268,$AD267,AL$233,$B$229,$B$236:$H$236,$B$247:$H$247,$B$249:$H$249,$B$250:$H283,$B$248:$H$248,$B$245:$H$245,$B$238:$H$238,$B$243:$H$243,$B$232,1))</f>
        <v>-183.41053125</v>
      </c>
      <c r="AM268" s="121">
        <f>IF(AM$233="",AL268,fMkk3($AE268,$AD267,AM$233,$B$229,$B$236:$H$236,$B$247:$H$247,$B$249:$H$249,$B$250:$H283,$B$248:$H$248,$B$245:$H$245,$B$238:$H$238,$B$243:$H$243,$B$232,1))</f>
        <v>-183.41053125</v>
      </c>
      <c r="AN268" s="115"/>
      <c r="AO268" s="115"/>
      <c r="AP268" s="116"/>
      <c r="AQ268" s="16"/>
      <c r="AR268" s="124">
        <f t="shared" si="33"/>
        <v>-200.11178124999998</v>
      </c>
      <c r="AS268"/>
      <c r="AT268"/>
      <c r="AU268"/>
      <c r="AV268"/>
      <c r="AW268"/>
      <c r="AX268"/>
      <c r="AY268"/>
      <c r="AZ268"/>
      <c r="BA268"/>
      <c r="BB268"/>
      <c r="BC268"/>
      <c r="BD268"/>
    </row>
    <row r="269" spans="1:56" ht="1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C269" s="2" t="s">
        <v>129</v>
      </c>
      <c r="AD269" s="15">
        <f>INDEX(B$247:H$247,1,AD267)</f>
        <v>6.4</v>
      </c>
      <c r="AE269" s="120">
        <f>AD269/4</f>
        <v>1.6</v>
      </c>
      <c r="AF269" s="14">
        <f>IF(AD273&gt;$B$229-1,AF261,AE269+AF265)</f>
        <v>12.4</v>
      </c>
      <c r="AG269" s="114">
        <f>IF(AG$233="",AE269,fMkk3($AE269,$AD267,AG$233,$B$229,$B$236:$H$236,$B$247:$H$247,$B$249:$H$249,$B$250:$H284,$B$248:$H$248,$B$245:$H$245,$B$238:$H$238,$B$243:$H$243,$B$232,1))</f>
        <v>151.86975000000004</v>
      </c>
      <c r="AH269" s="114">
        <f>IF(AH$233="",AG269,fMkk3($AE269,$AD267,AH$233,$B$229,$B$236:$H$236,$B$247:$H$247,$B$249:$H$249,$B$250:$H284,$B$248:$H$248,$B$245:$H$245,$B$238:$H$238,$B$243:$H$243,$B$232,1))</f>
        <v>26.534250000000043</v>
      </c>
      <c r="AI269" s="114">
        <f>IF(AI$233="",AH269,fMkk3($AE269,$AD267,AI$233,$B$229,$B$236:$H$236,$B$247:$H$247,$B$249:$H$249,$B$250:$H284,$B$248:$H$248,$B$245:$H$245,$B$238:$H$238,$B$243:$H$243,$B$232,1))</f>
        <v>26.51475000000002</v>
      </c>
      <c r="AJ269" s="114">
        <f>IF(AJ$233="",AI269,fMkk3($AE269,$AD267,AJ$233,$B$229,$B$236:$H$236,$B$247:$H$247,$B$249:$H$249,$B$250:$H284,$B$248:$H$248,$B$245:$H$245,$B$238:$H$238,$B$243:$H$243,$B$232,1))</f>
        <v>140.24475000000004</v>
      </c>
      <c r="AK269" s="114">
        <f>IF(AK$233="",AJ269,fMkk3($AE269,$AD267,AK$233,$B$229,$B$236:$H$236,$B$247:$H$247,$B$249:$H$249,$B$250:$H284,$B$248:$H$248,$B$245:$H$245,$B$238:$H$238,$B$243:$H$243,$B$232,1))</f>
        <v>140.24475000000004</v>
      </c>
      <c r="AL269" s="114">
        <f>IF(AL$233="",AK269,fMkk3($AE269,$AD267,AL$233,$B$229,$B$236:$H$236,$B$247:$H$247,$B$249:$H$249,$B$250:$H284,$B$248:$H$248,$B$245:$H$245,$B$238:$H$238,$B$243:$H$243,$B$232,1))</f>
        <v>140.24475000000004</v>
      </c>
      <c r="AM269" s="121">
        <f>IF(AM$233="",AL269,fMkk3($AE269,$AD267,AM$233,$B$229,$B$236:$H$236,$B$247:$H$247,$B$249:$H$249,$B$250:$H284,$B$248:$H$248,$B$245:$H$245,$B$238:$H$238,$B$243:$H$243,$B$232,1))</f>
        <v>140.24475000000004</v>
      </c>
      <c r="AN269" s="115"/>
      <c r="AO269" s="115"/>
      <c r="AP269" s="116"/>
      <c r="AQ269" s="16"/>
      <c r="AR269" s="124">
        <f t="shared" si="33"/>
        <v>26.51475000000002</v>
      </c>
      <c r="AS269"/>
      <c r="AT269"/>
      <c r="AU269"/>
      <c r="AV269"/>
      <c r="AW269"/>
      <c r="AX269"/>
      <c r="AY269"/>
      <c r="AZ269"/>
      <c r="BA269"/>
      <c r="BB269"/>
      <c r="BC269"/>
      <c r="BD269"/>
    </row>
    <row r="270" spans="1:56" ht="1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C270" s="2" t="s">
        <v>25</v>
      </c>
      <c r="AD270" s="15">
        <f>INDEX(B$238:H$238,1,AD267)</f>
        <v>0.7</v>
      </c>
      <c r="AE270" s="120">
        <f>AD269/2</f>
        <v>3.2</v>
      </c>
      <c r="AF270" s="14">
        <f>IF(AD273&gt;$B$229-1,AF262,AE270+AF265)</f>
        <v>14</v>
      </c>
      <c r="AG270" s="114">
        <f>IF(AG$233="",AE270,fMkk3($AE270,$AD267,AG$233,$B$229,$B$236:$H$236,$B$247:$H$247,$B$249:$H$249,$B$250:$H285,$B$248:$H$248,$B$245:$H$245,$B$238:$H$238,$B$243:$H$243,$B$232,1))</f>
        <v>316.28650000000005</v>
      </c>
      <c r="AH270" s="114">
        <f>IF(AH$233="",AG270,fMkk3($AE270,$AD267,AH$233,$B$229,$B$236:$H$236,$B$247:$H$247,$B$249:$H$249,$B$250:$H285,$B$248:$H$248,$B$245:$H$245,$B$238:$H$238,$B$243:$H$243,$B$232,1))</f>
        <v>155.92950000000002</v>
      </c>
      <c r="AI270" s="114">
        <f>IF(AI$233="",AH270,fMkk3($AE270,$AD267,AI$233,$B$229,$B$236:$H$236,$B$247:$H$247,$B$249:$H$249,$B$250:$H285,$B$248:$H$248,$B$245:$H$245,$B$238:$H$238,$B$243:$H$243,$B$232,1))</f>
        <v>155.9165</v>
      </c>
      <c r="AJ270" s="114">
        <f>IF(AJ$233="",AI270,fMkk3($AE270,$AD267,AJ$233,$B$229,$B$236:$H$236,$B$247:$H$247,$B$249:$H$249,$B$250:$H285,$B$248:$H$248,$B$245:$H$245,$B$238:$H$238,$B$243:$H$243,$B$232,1))</f>
        <v>308.53650000000005</v>
      </c>
      <c r="AK270" s="114">
        <f>IF(AK$233="",AJ270,fMkk3($AE270,$AD267,AK$233,$B$229,$B$236:$H$236,$B$247:$H$247,$B$249:$H$249,$B$250:$H285,$B$248:$H$248,$B$245:$H$245,$B$238:$H$238,$B$243:$H$243,$B$232,1))</f>
        <v>308.53650000000005</v>
      </c>
      <c r="AL270" s="114">
        <f>IF(AL$233="",AK270,fMkk3($AE270,$AD267,AL$233,$B$229,$B$236:$H$236,$B$247:$H$247,$B$249:$H$249,$B$250:$H285,$B$248:$H$248,$B$245:$H$245,$B$238:$H$238,$B$243:$H$243,$B$232,1))</f>
        <v>308.53650000000005</v>
      </c>
      <c r="AM270" s="121">
        <f>IF(AM$233="",AL270,fMkk3($AE270,$AD267,AM$233,$B$229,$B$236:$H$236,$B$247:$H$247,$B$249:$H$249,$B$250:$H285,$B$248:$H$248,$B$245:$H$245,$B$238:$H$238,$B$243:$H$243,$B$232,1))</f>
        <v>308.53650000000005</v>
      </c>
      <c r="AN270" s="115"/>
      <c r="AO270" s="115"/>
      <c r="AP270" s="116"/>
      <c r="AQ270" s="16"/>
      <c r="AR270" s="124">
        <f t="shared" si="33"/>
        <v>155.9165</v>
      </c>
      <c r="AS270"/>
      <c r="AT270"/>
      <c r="AU270"/>
      <c r="AV270"/>
      <c r="AW270"/>
      <c r="AX270"/>
      <c r="AY270"/>
      <c r="AZ270"/>
      <c r="BA270"/>
      <c r="BB270"/>
      <c r="BC270"/>
      <c r="BD270"/>
    </row>
    <row r="271" spans="1:56" ht="1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C271" s="2" t="s">
        <v>130</v>
      </c>
      <c r="AD271" s="15">
        <f>INDEX(B$245:H$245,1,AD267)</f>
        <v>0.4</v>
      </c>
      <c r="AE271" s="120">
        <f>AD269*0.75</f>
        <v>4.800000000000001</v>
      </c>
      <c r="AF271" s="14">
        <f>IF(AD273&gt;$B$229-1,AF263,AE271+AF265)</f>
        <v>15.600000000000001</v>
      </c>
      <c r="AG271" s="114">
        <f>IF(AG$233="",AE271,fMkk3($AE271,$AD267,AG$233,$B$229,$B$236:$H$236,$B$247:$H$247,$B$249:$H$249,$B$250:$H286,$B$248:$H$248,$B$245:$H$245,$B$238:$H$238,$B$243:$H$243,$B$232,1))</f>
        <v>265.66324999999995</v>
      </c>
      <c r="AH271" s="114">
        <f>IF(AH$233="",AG271,fMkk3($AE271,$AD267,AH$233,$B$229,$B$236:$H$236,$B$247:$H$247,$B$249:$H$249,$B$250:$H286,$B$248:$H$248,$B$245:$H$245,$B$238:$H$238,$B$243:$H$243,$B$232,1))</f>
        <v>147.08475</v>
      </c>
      <c r="AI271" s="114">
        <f>IF(AI$233="",AH271,fMkk3($AE271,$AD267,AI$233,$B$229,$B$236:$H$236,$B$247:$H$247,$B$249:$H$249,$B$250:$H286,$B$248:$H$248,$B$245:$H$245,$B$238:$H$238,$B$243:$H$243,$B$232,1))</f>
        <v>147.07825000000003</v>
      </c>
      <c r="AJ271" s="114">
        <f>IF(AJ$233="",AI271,fMkk3($AE271,$AD267,AJ$233,$B$229,$B$236:$H$236,$B$247:$H$247,$B$249:$H$249,$B$250:$H286,$B$248:$H$248,$B$245:$H$245,$B$238:$H$238,$B$243:$H$243,$B$232,1))</f>
        <v>261.78824999999995</v>
      </c>
      <c r="AK271" s="114">
        <f>IF(AK$233="",AJ271,fMkk3($AE271,$AD267,AK$233,$B$229,$B$236:$H$236,$B$247:$H$247,$B$249:$H$249,$B$250:$H286,$B$248:$H$248,$B$245:$H$245,$B$238:$H$238,$B$243:$H$243,$B$232,1))</f>
        <v>261.78824999999995</v>
      </c>
      <c r="AL271" s="114">
        <f>IF(AL$233="",AK271,fMkk3($AE271,$AD267,AL$233,$B$229,$B$236:$H$236,$B$247:$H$247,$B$249:$H$249,$B$250:$H286,$B$248:$H$248,$B$245:$H$245,$B$238:$H$238,$B$243:$H$243,$B$232,1))</f>
        <v>261.78824999999995</v>
      </c>
      <c r="AM271" s="121">
        <f>IF(AM$233="",AL271,fMkk3($AE271,$AD267,AM$233,$B$229,$B$236:$H$236,$B$247:$H$247,$B$249:$H$249,$B$250:$H286,$B$248:$H$248,$B$245:$H$245,$B$238:$H$238,$B$243:$H$243,$B$232,1))</f>
        <v>261.78824999999995</v>
      </c>
      <c r="AN271" s="115"/>
      <c r="AO271" s="115"/>
      <c r="AP271" s="116"/>
      <c r="AQ271" s="16"/>
      <c r="AR271" s="124">
        <f t="shared" si="33"/>
        <v>147.07825000000003</v>
      </c>
      <c r="AS271"/>
      <c r="AT271"/>
      <c r="AU271"/>
      <c r="AV271"/>
      <c r="AW271"/>
      <c r="AX271"/>
      <c r="AY271"/>
      <c r="AZ271"/>
      <c r="BA271"/>
      <c r="BB271"/>
      <c r="BC271"/>
      <c r="BD271"/>
    </row>
    <row r="272" spans="1:56" ht="1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C272" s="2" t="s">
        <v>131</v>
      </c>
      <c r="AD272" s="15">
        <f>INDEX(B$245:H$245,1,AD267+1)</f>
        <v>0.4</v>
      </c>
      <c r="AE272" s="120">
        <f>AD269-MIN(AD270/2,AD272/2)</f>
        <v>6.2</v>
      </c>
      <c r="AF272" s="14">
        <f>IF(AD273&gt;$B$229-1,AF264,AE272+AF265)</f>
        <v>17</v>
      </c>
      <c r="AG272" s="114">
        <f>IF(AG$233="",AE272,fMkk3($AE272,$AD267,AG$233,$B$229,$B$236:$H$236,$B$247:$H$247,$B$249:$H$249,$B$250:$H287,$B$248:$H$248,$B$245:$H$245,$B$238:$H$238,$B$243:$H$243,$B$232,1))</f>
        <v>44.967906250000055</v>
      </c>
      <c r="AH272" s="114">
        <f>IF(AH$233="",AG272,fMkk3($AE272,$AD267,AH$233,$B$229,$B$236:$H$236,$B$247:$H$247,$B$249:$H$249,$B$250:$H287,$B$248:$H$248,$B$245:$H$245,$B$238:$H$238,$B$243:$H$243,$B$232,1))</f>
        <v>25.945593750000032</v>
      </c>
      <c r="AI272" s="114">
        <f>IF(AI$233="",AH272,fMkk3($AE272,$AD267,AI$233,$B$229,$B$236:$H$236,$B$247:$H$247,$B$249:$H$249,$B$250:$H287,$B$248:$H$248,$B$245:$H$245,$B$238:$H$238,$B$243:$H$243,$B$232,1))</f>
        <v>25.944781250000034</v>
      </c>
      <c r="AJ272" s="114">
        <f>IF(AJ$233="",AI272,fMkk3($AE272,$AD267,AJ$233,$B$229,$B$236:$H$236,$B$247:$H$247,$B$249:$H$249,$B$250:$H287,$B$248:$H$248,$B$245:$H$245,$B$238:$H$238,$B$243:$H$243,$B$232,1))</f>
        <v>44.483531250000055</v>
      </c>
      <c r="AK272" s="114">
        <f>IF(AK$233="",AJ272,fMkk3($AE272,$AD267,AK$233,$B$229,$B$236:$H$236,$B$247:$H$247,$B$249:$H$249,$B$250:$H287,$B$248:$H$248,$B$245:$H$245,$B$238:$H$238,$B$243:$H$243,$B$232,1))</f>
        <v>44.483531250000055</v>
      </c>
      <c r="AL272" s="114">
        <f>IF(AL$233="",AK272,fMkk3($AE272,$AD267,AL$233,$B$229,$B$236:$H$236,$B$247:$H$247,$B$249:$H$249,$B$250:$H287,$B$248:$H$248,$B$245:$H$245,$B$238:$H$238,$B$243:$H$243,$B$232,1))</f>
        <v>44.483531250000055</v>
      </c>
      <c r="AM272" s="121">
        <f>IF(AM$233="",AL272,fMkk3($AE272,$AD267,AM$233,$B$229,$B$236:$H$236,$B$247:$H$247,$B$249:$H$249,$B$250:$H287,$B$248:$H$248,$B$245:$H$245,$B$238:$H$238,$B$243:$H$243,$B$232,1))</f>
        <v>44.483531250000055</v>
      </c>
      <c r="AN272" s="115"/>
      <c r="AO272" s="115"/>
      <c r="AP272" s="116"/>
      <c r="AQ272" s="16"/>
      <c r="AR272" s="124">
        <f t="shared" si="33"/>
        <v>25.944781250000034</v>
      </c>
      <c r="AS272"/>
      <c r="AT272"/>
      <c r="AU272"/>
      <c r="AV272"/>
      <c r="AW272"/>
      <c r="AX272"/>
      <c r="AY272"/>
      <c r="AZ272"/>
      <c r="BA272"/>
      <c r="BB272"/>
      <c r="BC272"/>
      <c r="BD272"/>
    </row>
    <row r="273" spans="1:56" ht="1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C273" s="2" t="s">
        <v>138</v>
      </c>
      <c r="AD273" s="15">
        <f>1+AD265</f>
        <v>5</v>
      </c>
      <c r="AE273" s="120">
        <f>AD269</f>
        <v>6.4</v>
      </c>
      <c r="AF273" s="14">
        <f>IF(AD273&gt;$B$229-1,AF265,AE273+AF265)</f>
        <v>17.200000000000003</v>
      </c>
      <c r="AG273" s="114">
        <f>IF(AG$233="",AE273,fMkk3($AE273,$AD267,AG$233,$B$229,$B$236:$H$236,$B$247:$H$247,$B$249:$H$249,$B$250:$H288,$B$248:$H$248,$B$245:$H$245,$B$238:$H$238,$B$243:$H$243,$B$232,1))</f>
        <v>0</v>
      </c>
      <c r="AH273" s="114">
        <f>IF(AH$233="",AG273,fMkk3($AE273,$AD267,AH$233,$B$229,$B$236:$H$236,$B$247:$H$247,$B$249:$H$249,$B$250:$H288,$B$248:$H$248,$B$245:$H$245,$B$238:$H$238,$B$243:$H$243,$B$232,1))</f>
        <v>0</v>
      </c>
      <c r="AI273" s="114">
        <f>IF(AI$233="",AH273,fMkk3($AE273,$AD267,AI$233,$B$229,$B$236:$H$236,$B$247:$H$247,$B$249:$H$249,$B$250:$H288,$B$248:$H$248,$B$245:$H$245,$B$238:$H$238,$B$243:$H$243,$B$232,1))</f>
        <v>0</v>
      </c>
      <c r="AJ273" s="114">
        <f>IF(AJ$233="",AI273,fMkk3($AE273,$AD267,AJ$233,$B$229,$B$236:$H$236,$B$247:$H$247,$B$249:$H$249,$B$250:$H288,$B$248:$H$248,$B$245:$H$245,$B$238:$H$238,$B$243:$H$243,$B$232,1))</f>
        <v>0</v>
      </c>
      <c r="AK273" s="114">
        <f>IF(AK$233="",AJ273,fMkk3($AE273,$AD267,AK$233,$B$229,$B$236:$H$236,$B$247:$H$247,$B$249:$H$249,$B$250:$H288,$B$248:$H$248,$B$245:$H$245,$B$238:$H$238,$B$243:$H$243,$B$232,1))</f>
        <v>0</v>
      </c>
      <c r="AL273" s="114">
        <f>IF(AL$233="",AK273,fMkk3($AE273,$AD267,AL$233,$B$229,$B$236:$H$236,$B$247:$H$247,$B$249:$H$249,$B$250:$H288,$B$248:$H$248,$B$245:$H$245,$B$238:$H$238,$B$243:$H$243,$B$232,1))</f>
        <v>0</v>
      </c>
      <c r="AM273" s="121">
        <f>IF(AM$233="",AL273,fMkk3($AE273,$AD267,AM$233,$B$229,$B$236:$H$236,$B$247:$H$247,$B$249:$H$249,$B$250:$H288,$B$248:$H$248,$B$245:$H$245,$B$238:$H$238,$B$243:$H$243,$B$232,1))</f>
        <v>0</v>
      </c>
      <c r="AN273" s="115"/>
      <c r="AO273" s="115"/>
      <c r="AP273" s="116"/>
      <c r="AQ273" s="16"/>
      <c r="AR273" s="124">
        <f t="shared" si="33"/>
        <v>0</v>
      </c>
      <c r="AS273"/>
      <c r="AT273"/>
      <c r="AU273"/>
      <c r="AV273"/>
      <c r="AW273"/>
      <c r="AX273"/>
      <c r="AY273"/>
      <c r="AZ273"/>
      <c r="BA273"/>
      <c r="BB273"/>
      <c r="BC273"/>
      <c r="BD273"/>
    </row>
    <row r="274" spans="1:56" ht="1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C274"/>
      <c r="AD274" s="115"/>
      <c r="AE274" s="115"/>
      <c r="AF274" s="14"/>
      <c r="AG274" s="115"/>
      <c r="AH274" s="115"/>
      <c r="AI274" s="115"/>
      <c r="AJ274" s="115"/>
      <c r="AK274" s="115"/>
      <c r="AL274" s="115"/>
      <c r="AM274" s="115"/>
      <c r="AN274" s="115"/>
      <c r="AO274" s="115"/>
      <c r="AP274" s="116"/>
      <c r="AQ274" s="16"/>
      <c r="AR274" s="115"/>
      <c r="AS274"/>
      <c r="AT274"/>
      <c r="AU274"/>
      <c r="AV274"/>
      <c r="AW274"/>
      <c r="AX274"/>
      <c r="AY274"/>
      <c r="AZ274"/>
      <c r="BA274"/>
      <c r="BB274"/>
      <c r="BC274"/>
      <c r="BD274"/>
    </row>
    <row r="275" spans="1:56" ht="1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C275" s="2" t="s">
        <v>127</v>
      </c>
      <c r="AD275" s="119">
        <f>IF(AD267&gt;=$B$229-1,AD267,AD267+1)</f>
        <v>3</v>
      </c>
      <c r="AE275" s="120">
        <v>0</v>
      </c>
      <c r="AF275" s="14">
        <f>IF(AD281&gt;$B$229-1,AF267,AE275+AF273)</f>
        <v>10.8</v>
      </c>
      <c r="AG275" s="114">
        <f>IF(AG$233="",AE275,fMkk3($AE275,$AD275,AG$233,$B$229,$B$236:$H$236,$B$247:$H$247,$B$249:$H$249,$B$250:$H290,$B$248:$H$248,$B$245:$H$245,$B$238:$H$238,$B$243:$H$243,$B$232,1))</f>
        <v>-227.58700000000002</v>
      </c>
      <c r="AH275" s="114">
        <f>IF(AH$233="",AG275,fMkk3($AE275,$AD275,AH$233,$B$229,$B$236:$H$236,$B$247:$H$247,$B$249:$H$249,$B$250:$H290,$B$248:$H$248,$B$245:$H$245,$B$238:$H$238,$B$243:$H$243,$B$232,1))</f>
        <v>-241.101</v>
      </c>
      <c r="AI275" s="114">
        <f>IF(AI$233="",AH275,fMkk3($AE275,$AD275,AI$233,$B$229,$B$236:$H$236,$B$247:$H$247,$B$249:$H$249,$B$250:$H290,$B$248:$H$248,$B$245:$H$245,$B$238:$H$238,$B$243:$H$243,$B$232,1))</f>
        <v>-241.127</v>
      </c>
      <c r="AJ275" s="114">
        <f>IF(AJ$233="",AI275,fMkk3($AE275,$AD275,AJ$233,$B$229,$B$236:$H$236,$B$247:$H$247,$B$249:$H$249,$B$250:$H290,$B$248:$H$248,$B$245:$H$245,$B$238:$H$238,$B$243:$H$243,$B$232,1))</f>
        <v>-243.08700000000002</v>
      </c>
      <c r="AK275" s="114">
        <f>IF(AK$233="",AJ275,fMkk3($AE275,$AD275,AK$233,$B$229,$B$236:$H$236,$B$247:$H$247,$B$249:$H$249,$B$250:$H290,$B$248:$H$248,$B$245:$H$245,$B$238:$H$238,$B$243:$H$243,$B$232,1))</f>
        <v>-243.08700000000002</v>
      </c>
      <c r="AL275" s="114">
        <f>IF(AL$233="",AK275,fMkk3($AE275,$AD275,AL$233,$B$229,$B$236:$H$236,$B$247:$H$247,$B$249:$H$249,$B$250:$H290,$B$248:$H$248,$B$245:$H$245,$B$238:$H$238,$B$243:$H$243,$B$232,1))</f>
        <v>-243.08700000000002</v>
      </c>
      <c r="AM275" s="121">
        <f>IF(AM$233="",AL275,fMkk3($AE275,$AD275,AM$233,$B$229,$B$236:$H$236,$B$247:$H$247,$B$249:$H$249,$B$250:$H290,$B$248:$H$248,$B$245:$H$245,$B$238:$H$238,$B$243:$H$243,$B$232,1))</f>
        <v>-243.08700000000002</v>
      </c>
      <c r="AN275" s="115"/>
      <c r="AO275" s="115"/>
      <c r="AP275" s="116"/>
      <c r="AQ275" s="16"/>
      <c r="AR275" s="124">
        <f aca="true" t="shared" si="34" ref="AR275:AR281">MIN(AG275:AM275)</f>
        <v>-243.08700000000002</v>
      </c>
      <c r="AS275"/>
      <c r="AT275"/>
      <c r="AU275"/>
      <c r="AV275"/>
      <c r="AW275"/>
      <c r="AX275"/>
      <c r="AY275"/>
      <c r="AZ275"/>
      <c r="BA275"/>
      <c r="BB275"/>
      <c r="BC275"/>
      <c r="BD275"/>
    </row>
    <row r="276" spans="1:56" ht="1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C276" s="2" t="s">
        <v>128</v>
      </c>
      <c r="AD276" s="15">
        <f>INDEX(B$236:H$236,1,AD275)</f>
        <v>6</v>
      </c>
      <c r="AE276" s="120">
        <f>MIN(AD279/2,AD278,2)</f>
        <v>0.2</v>
      </c>
      <c r="AF276" s="14">
        <f>IF(AD281&gt;$B$229-1,AF268,AE276+AF273)</f>
        <v>11</v>
      </c>
      <c r="AG276" s="114">
        <f>IF(AG$233="",AE276,fMkk3($AE276,$AD275,AG$233,$B$229,$B$236:$H$236,$B$247:$H$247,$B$249:$H$249,$B$250:$H291,$B$248:$H$248,$B$245:$H$245,$B$238:$H$238,$B$243:$H$243,$B$232,1))</f>
        <v>-168.39490625</v>
      </c>
      <c r="AH276" s="114">
        <f>IF(AH$233="",AG276,fMkk3($AE276,$AD275,AH$233,$B$229,$B$236:$H$236,$B$247:$H$247,$B$249:$H$249,$B$250:$H291,$B$248:$H$248,$B$245:$H$245,$B$238:$H$238,$B$243:$H$243,$B$232,1))</f>
        <v>-200.08659375000002</v>
      </c>
      <c r="AI276" s="114">
        <f>IF(AI$233="",AH276,fMkk3($AE276,$AD275,AI$233,$B$229,$B$236:$H$236,$B$247:$H$247,$B$249:$H$249,$B$250:$H291,$B$248:$H$248,$B$245:$H$245,$B$238:$H$238,$B$243:$H$243,$B$232,1))</f>
        <v>-200.11178124999998</v>
      </c>
      <c r="AJ276" s="114">
        <f>IF(AJ$233="",AI276,fMkk3($AE276,$AD275,AJ$233,$B$229,$B$236:$H$236,$B$247:$H$247,$B$249:$H$249,$B$250:$H291,$B$248:$H$248,$B$245:$H$245,$B$238:$H$238,$B$243:$H$243,$B$232,1))</f>
        <v>-183.41053125</v>
      </c>
      <c r="AK276" s="114">
        <f>IF(AK$233="",AJ276,fMkk3($AE276,$AD275,AK$233,$B$229,$B$236:$H$236,$B$247:$H$247,$B$249:$H$249,$B$250:$H291,$B$248:$H$248,$B$245:$H$245,$B$238:$H$238,$B$243:$H$243,$B$232,1))</f>
        <v>-183.41053125</v>
      </c>
      <c r="AL276" s="114">
        <f>IF(AL$233="",AK276,fMkk3($AE276,$AD275,AL$233,$B$229,$B$236:$H$236,$B$247:$H$247,$B$249:$H$249,$B$250:$H291,$B$248:$H$248,$B$245:$H$245,$B$238:$H$238,$B$243:$H$243,$B$232,1))</f>
        <v>-183.41053125</v>
      </c>
      <c r="AM276" s="121">
        <f>IF(AM$233="",AL276,fMkk3($AE276,$AD275,AM$233,$B$229,$B$236:$H$236,$B$247:$H$247,$B$249:$H$249,$B$250:$H291,$B$248:$H$248,$B$245:$H$245,$B$238:$H$238,$B$243:$H$243,$B$232,1))</f>
        <v>-183.41053125</v>
      </c>
      <c r="AN276" s="115"/>
      <c r="AO276" s="115"/>
      <c r="AP276" s="116"/>
      <c r="AQ276" s="16"/>
      <c r="AR276" s="124">
        <f t="shared" si="34"/>
        <v>-200.11178124999998</v>
      </c>
      <c r="AS276"/>
      <c r="AT276"/>
      <c r="AU276"/>
      <c r="AV276"/>
      <c r="AW276"/>
      <c r="AX276"/>
      <c r="AY276"/>
      <c r="AZ276"/>
      <c r="BA276"/>
      <c r="BB276"/>
      <c r="BC276"/>
      <c r="BD276"/>
    </row>
    <row r="277" spans="1:56" ht="1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C277" s="2" t="s">
        <v>129</v>
      </c>
      <c r="AD277" s="15">
        <f>INDEX(B$247:H$247,1,AD275)</f>
        <v>6.4</v>
      </c>
      <c r="AE277" s="120">
        <f>AD277/4</f>
        <v>1.6</v>
      </c>
      <c r="AF277" s="14">
        <f>IF(AD281&gt;$B$229-1,AF269,AE277+AF273)</f>
        <v>12.4</v>
      </c>
      <c r="AG277" s="114">
        <f>IF(AG$233="",AE277,fMkk3($AE277,$AD275,AG$233,$B$229,$B$236:$H$236,$B$247:$H$247,$B$249:$H$249,$B$250:$H293,$B$248:$H$248,$B$245:$H$245,$B$238:$H$238,$B$243:$H$243,$B$232,1))</f>
        <v>151.86975000000004</v>
      </c>
      <c r="AH277" s="114">
        <f>IF(AH$233="",AG277,fMkk3($AE277,$AD275,AH$233,$B$229,$B$236:$H$236,$B$247:$H$247,$B$249:$H$249,$B$250:$H293,$B$248:$H$248,$B$245:$H$245,$B$238:$H$238,$B$243:$H$243,$B$232,1))</f>
        <v>26.534250000000043</v>
      </c>
      <c r="AI277" s="114">
        <f>IF(AI$233="",AH277,fMkk3($AE277,$AD275,AI$233,$B$229,$B$236:$H$236,$B$247:$H$247,$B$249:$H$249,$B$250:$H293,$B$248:$H$248,$B$245:$H$245,$B$238:$H$238,$B$243:$H$243,$B$232,1))</f>
        <v>26.51475000000002</v>
      </c>
      <c r="AJ277" s="114">
        <f>IF(AJ$233="",AI277,fMkk3($AE277,$AD275,AJ$233,$B$229,$B$236:$H$236,$B$247:$H$247,$B$249:$H$249,$B$250:$H293,$B$248:$H$248,$B$245:$H$245,$B$238:$H$238,$B$243:$H$243,$B$232,1))</f>
        <v>140.24475000000004</v>
      </c>
      <c r="AK277" s="114">
        <f>IF(AK$233="",AJ277,fMkk3($AE277,$AD275,AK$233,$B$229,$B$236:$H$236,$B$247:$H$247,$B$249:$H$249,$B$250:$H293,$B$248:$H$248,$B$245:$H$245,$B$238:$H$238,$B$243:$H$243,$B$232,1))</f>
        <v>140.24475000000004</v>
      </c>
      <c r="AL277" s="114">
        <f>IF(AL$233="",AK277,fMkk3($AE277,$AD275,AL$233,$B$229,$B$236:$H$236,$B$247:$H$247,$B$249:$H$249,$B$250:$H293,$B$248:$H$248,$B$245:$H$245,$B$238:$H$238,$B$243:$H$243,$B$232,1))</f>
        <v>140.24475000000004</v>
      </c>
      <c r="AM277" s="121">
        <f>IF(AM$233="",AL277,fMkk3($AE277,$AD275,AM$233,$B$229,$B$236:$H$236,$B$247:$H$247,$B$249:$H$249,$B$250:$H293,$B$248:$H$248,$B$245:$H$245,$B$238:$H$238,$B$243:$H$243,$B$232,1))</f>
        <v>140.24475000000004</v>
      </c>
      <c r="AN277" s="115"/>
      <c r="AO277" s="115"/>
      <c r="AP277" s="116"/>
      <c r="AQ277" s="16"/>
      <c r="AR277" s="124">
        <f t="shared" si="34"/>
        <v>26.51475000000002</v>
      </c>
      <c r="AS277"/>
      <c r="AT277"/>
      <c r="AU277"/>
      <c r="AV277"/>
      <c r="AW277"/>
      <c r="AX277"/>
      <c r="AY277"/>
      <c r="AZ277"/>
      <c r="BA277"/>
      <c r="BB277"/>
      <c r="BC277"/>
      <c r="BD277"/>
    </row>
    <row r="278" spans="1:56" ht="1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C278" s="2" t="s">
        <v>25</v>
      </c>
      <c r="AD278" s="15">
        <f>INDEX(B$238:H$238,1,AD275)</f>
        <v>0.7</v>
      </c>
      <c r="AE278" s="120">
        <f>AD277/2</f>
        <v>3.2</v>
      </c>
      <c r="AF278" s="14">
        <f>IF(AD281&gt;$B$229-1,AF270,AE278+AF273)</f>
        <v>14</v>
      </c>
      <c r="AG278" s="114">
        <f>IF(AG$233="",AE278,fMkk3($AE278,$AD275,AG$233,$B$229,$B$236:$H$236,$B$247:$H$247,$B$249:$H$249,$B$250:$H294,$B$248:$H$248,$B$245:$H$245,$B$238:$H$238,$B$243:$H$243,$B$232,1))</f>
        <v>316.28650000000005</v>
      </c>
      <c r="AH278" s="114">
        <f>IF(AH$233="",AG278,fMkk3($AE278,$AD275,AH$233,$B$229,$B$236:$H$236,$B$247:$H$247,$B$249:$H$249,$B$250:$H294,$B$248:$H$248,$B$245:$H$245,$B$238:$H$238,$B$243:$H$243,$B$232,1))</f>
        <v>155.92950000000002</v>
      </c>
      <c r="AI278" s="114">
        <f>IF(AI$233="",AH278,fMkk3($AE278,$AD275,AI$233,$B$229,$B$236:$H$236,$B$247:$H$247,$B$249:$H$249,$B$250:$H294,$B$248:$H$248,$B$245:$H$245,$B$238:$H$238,$B$243:$H$243,$B$232,1))</f>
        <v>155.9165</v>
      </c>
      <c r="AJ278" s="114">
        <f>IF(AJ$233="",AI278,fMkk3($AE278,$AD275,AJ$233,$B$229,$B$236:$H$236,$B$247:$H$247,$B$249:$H$249,$B$250:$H294,$B$248:$H$248,$B$245:$H$245,$B$238:$H$238,$B$243:$H$243,$B$232,1))</f>
        <v>308.53650000000005</v>
      </c>
      <c r="AK278" s="114">
        <f>IF(AK$233="",AJ278,fMkk3($AE278,$AD275,AK$233,$B$229,$B$236:$H$236,$B$247:$H$247,$B$249:$H$249,$B$250:$H294,$B$248:$H$248,$B$245:$H$245,$B$238:$H$238,$B$243:$H$243,$B$232,1))</f>
        <v>308.53650000000005</v>
      </c>
      <c r="AL278" s="114">
        <f>IF(AL$233="",AK278,fMkk3($AE278,$AD275,AL$233,$B$229,$B$236:$H$236,$B$247:$H$247,$B$249:$H$249,$B$250:$H294,$B$248:$H$248,$B$245:$H$245,$B$238:$H$238,$B$243:$H$243,$B$232,1))</f>
        <v>308.53650000000005</v>
      </c>
      <c r="AM278" s="121">
        <f>IF(AM$233="",AL278,fMkk3($AE278,$AD275,AM$233,$B$229,$B$236:$H$236,$B$247:$H$247,$B$249:$H$249,$B$250:$H294,$B$248:$H$248,$B$245:$H$245,$B$238:$H$238,$B$243:$H$243,$B$232,1))</f>
        <v>308.53650000000005</v>
      </c>
      <c r="AN278" s="115"/>
      <c r="AO278" s="115"/>
      <c r="AP278" s="116"/>
      <c r="AQ278" s="16"/>
      <c r="AR278" s="124">
        <f t="shared" si="34"/>
        <v>155.9165</v>
      </c>
      <c r="AS278"/>
      <c r="AT278"/>
      <c r="AU278"/>
      <c r="AV278"/>
      <c r="AW278"/>
      <c r="AX278"/>
      <c r="AY278"/>
      <c r="AZ278"/>
      <c r="BA278"/>
      <c r="BB278"/>
      <c r="BC278"/>
      <c r="BD278"/>
    </row>
    <row r="279" spans="1:56" ht="1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C279" s="2" t="s">
        <v>130</v>
      </c>
      <c r="AD279" s="15">
        <f>INDEX(B$245:H$245,1,AD275)</f>
        <v>0.4</v>
      </c>
      <c r="AE279" s="120">
        <f>AD277*0.75</f>
        <v>4.800000000000001</v>
      </c>
      <c r="AF279" s="14">
        <f>IF(AD281&gt;$B$229-1,AF271,AE279+AF273)</f>
        <v>15.600000000000001</v>
      </c>
      <c r="AG279" s="114">
        <f>IF(AG$233="",AE279,fMkk3($AE279,$AD275,AG$233,$B$229,$B$236:$H$236,$B$247:$H$247,$B$249:$H$249,$B$250:$H295,$B$248:$H$248,$B$245:$H$245,$B$238:$H$238,$B$243:$H$243,$B$232,1))</f>
        <v>265.66324999999995</v>
      </c>
      <c r="AH279" s="114">
        <f>IF(AH$233="",AG279,fMkk3($AE279,$AD275,AH$233,$B$229,$B$236:$H$236,$B$247:$H$247,$B$249:$H$249,$B$250:$H295,$B$248:$H$248,$B$245:$H$245,$B$238:$H$238,$B$243:$H$243,$B$232,1))</f>
        <v>147.08475</v>
      </c>
      <c r="AI279" s="114">
        <f>IF(AI$233="",AH279,fMkk3($AE279,$AD275,AI$233,$B$229,$B$236:$H$236,$B$247:$H$247,$B$249:$H$249,$B$250:$H295,$B$248:$H$248,$B$245:$H$245,$B$238:$H$238,$B$243:$H$243,$B$232,1))</f>
        <v>147.07825000000003</v>
      </c>
      <c r="AJ279" s="114">
        <f>IF(AJ$233="",AI279,fMkk3($AE279,$AD275,AJ$233,$B$229,$B$236:$H$236,$B$247:$H$247,$B$249:$H$249,$B$250:$H295,$B$248:$H$248,$B$245:$H$245,$B$238:$H$238,$B$243:$H$243,$B$232,1))</f>
        <v>261.78824999999995</v>
      </c>
      <c r="AK279" s="114">
        <f>IF(AK$233="",AJ279,fMkk3($AE279,$AD275,AK$233,$B$229,$B$236:$H$236,$B$247:$H$247,$B$249:$H$249,$B$250:$H295,$B$248:$H$248,$B$245:$H$245,$B$238:$H$238,$B$243:$H$243,$B$232,1))</f>
        <v>261.78824999999995</v>
      </c>
      <c r="AL279" s="114">
        <f>IF(AL$233="",AK279,fMkk3($AE279,$AD275,AL$233,$B$229,$B$236:$H$236,$B$247:$H$247,$B$249:$H$249,$B$250:$H295,$B$248:$H$248,$B$245:$H$245,$B$238:$H$238,$B$243:$H$243,$B$232,1))</f>
        <v>261.78824999999995</v>
      </c>
      <c r="AM279" s="121">
        <f>IF(AM$233="",AL279,fMkk3($AE279,$AD275,AM$233,$B$229,$B$236:$H$236,$B$247:$H$247,$B$249:$H$249,$B$250:$H295,$B$248:$H$248,$B$245:$H$245,$B$238:$H$238,$B$243:$H$243,$B$232,1))</f>
        <v>261.78824999999995</v>
      </c>
      <c r="AN279" s="115"/>
      <c r="AO279" s="115"/>
      <c r="AP279" s="116"/>
      <c r="AQ279" s="16"/>
      <c r="AR279" s="124">
        <f t="shared" si="34"/>
        <v>147.07825000000003</v>
      </c>
      <c r="AS279"/>
      <c r="AT279"/>
      <c r="AU279"/>
      <c r="AV279"/>
      <c r="AW279"/>
      <c r="AX279"/>
      <c r="AY279"/>
      <c r="AZ279"/>
      <c r="BA279"/>
      <c r="BB279"/>
      <c r="BC279"/>
      <c r="BD279"/>
    </row>
    <row r="280" spans="1:56" ht="1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C280" s="2" t="s">
        <v>131</v>
      </c>
      <c r="AD280" s="15">
        <f>INDEX(B$245:H$245,1,AD275+1)</f>
        <v>0.4</v>
      </c>
      <c r="AE280" s="120">
        <f>AD277-MIN(AD278/2,AD280/2)</f>
        <v>6.2</v>
      </c>
      <c r="AF280" s="14">
        <f>IF(AD281&gt;$B$229-1,AF272,AE280+AF273)</f>
        <v>17</v>
      </c>
      <c r="AG280" s="114">
        <f>IF(AG$233="",AE280,fMkk3($AE280,$AD275,AG$233,$B$229,$B$236:$H$236,$B$247:$H$247,$B$249:$H$249,$B$250:$H296,$B$248:$H$248,$B$245:$H$245,$B$238:$H$238,$B$243:$H$243,$B$232,1))</f>
        <v>44.967906250000055</v>
      </c>
      <c r="AH280" s="114">
        <f>IF(AH$233="",AG280,fMkk3($AE280,$AD275,AH$233,$B$229,$B$236:$H$236,$B$247:$H$247,$B$249:$H$249,$B$250:$H296,$B$248:$H$248,$B$245:$H$245,$B$238:$H$238,$B$243:$H$243,$B$232,1))</f>
        <v>25.945593750000032</v>
      </c>
      <c r="AI280" s="114">
        <f>IF(AI$233="",AH280,fMkk3($AE280,$AD275,AI$233,$B$229,$B$236:$H$236,$B$247:$H$247,$B$249:$H$249,$B$250:$H296,$B$248:$H$248,$B$245:$H$245,$B$238:$H$238,$B$243:$H$243,$B$232,1))</f>
        <v>25.944781250000034</v>
      </c>
      <c r="AJ280" s="114">
        <f>IF(AJ$233="",AI280,fMkk3($AE280,$AD275,AJ$233,$B$229,$B$236:$H$236,$B$247:$H$247,$B$249:$H$249,$B$250:$H296,$B$248:$H$248,$B$245:$H$245,$B$238:$H$238,$B$243:$H$243,$B$232,1))</f>
        <v>44.483531250000055</v>
      </c>
      <c r="AK280" s="114">
        <f>IF(AK$233="",AJ280,fMkk3($AE280,$AD275,AK$233,$B$229,$B$236:$H$236,$B$247:$H$247,$B$249:$H$249,$B$250:$H296,$B$248:$H$248,$B$245:$H$245,$B$238:$H$238,$B$243:$H$243,$B$232,1))</f>
        <v>44.483531250000055</v>
      </c>
      <c r="AL280" s="114">
        <f>IF(AL$233="",AK280,fMkk3($AE280,$AD275,AL$233,$B$229,$B$236:$H$236,$B$247:$H$247,$B$249:$H$249,$B$250:$H296,$B$248:$H$248,$B$245:$H$245,$B$238:$H$238,$B$243:$H$243,$B$232,1))</f>
        <v>44.483531250000055</v>
      </c>
      <c r="AM280" s="121">
        <f>IF(AM$233="",AL280,fMkk3($AE280,$AD275,AM$233,$B$229,$B$236:$H$236,$B$247:$H$247,$B$249:$H$249,$B$250:$H296,$B$248:$H$248,$B$245:$H$245,$B$238:$H$238,$B$243:$H$243,$B$232,1))</f>
        <v>44.483531250000055</v>
      </c>
      <c r="AN280" s="115"/>
      <c r="AO280" s="115"/>
      <c r="AP280" s="116"/>
      <c r="AQ280" s="16"/>
      <c r="AR280" s="124">
        <f t="shared" si="34"/>
        <v>25.944781250000034</v>
      </c>
      <c r="AS280"/>
      <c r="AT280"/>
      <c r="AU280"/>
      <c r="AV280"/>
      <c r="AW280"/>
      <c r="AX280"/>
      <c r="AY280"/>
      <c r="AZ280"/>
      <c r="BA280"/>
      <c r="BB280"/>
      <c r="BC280"/>
      <c r="BD280"/>
    </row>
    <row r="281" spans="1:56" ht="1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C281" s="2" t="s">
        <v>138</v>
      </c>
      <c r="AD281" s="15">
        <f>1+AD273</f>
        <v>6</v>
      </c>
      <c r="AE281" s="120">
        <f>AD277</f>
        <v>6.4</v>
      </c>
      <c r="AF281" s="14">
        <f>IF(AD281&gt;$B$229-1,AF273,AE281+AF273)</f>
        <v>17.200000000000003</v>
      </c>
      <c r="AG281" s="114">
        <f>IF(AG$233="",AE281,fMkk3($AE281,$AD275,AG$233,$B$229,$B$236:$H$236,$B$247:$H$247,$B$249:$H$249,$B$250:$H297,$B$248:$H$248,$B$245:$H$245,$B$238:$H$238,$B$243:$H$243,$B$232,1))</f>
        <v>0</v>
      </c>
      <c r="AH281" s="114">
        <f>IF(AH$233="",AG281,fMkk3($AE281,$AD275,AH$233,$B$229,$B$236:$H$236,$B$247:$H$247,$B$249:$H$249,$B$250:$H297,$B$248:$H$248,$B$245:$H$245,$B$238:$H$238,$B$243:$H$243,$B$232,1))</f>
        <v>0</v>
      </c>
      <c r="AI281" s="114">
        <f>IF(AI$233="",AH281,fMkk3($AE281,$AD275,AI$233,$B$229,$B$236:$H$236,$B$247:$H$247,$B$249:$H$249,$B$250:$H297,$B$248:$H$248,$B$245:$H$245,$B$238:$H$238,$B$243:$H$243,$B$232,1))</f>
        <v>0</v>
      </c>
      <c r="AJ281" s="114">
        <f>IF(AJ$233="",AI281,fMkk3($AE281,$AD275,AJ$233,$B$229,$B$236:$H$236,$B$247:$H$247,$B$249:$H$249,$B$250:$H297,$B$248:$H$248,$B$245:$H$245,$B$238:$H$238,$B$243:$H$243,$B$232,1))</f>
        <v>0</v>
      </c>
      <c r="AK281" s="114">
        <f>IF(AK$233="",AJ281,fMkk3($AE281,$AD275,AK$233,$B$229,$B$236:$H$236,$B$247:$H$247,$B$249:$H$249,$B$250:$H297,$B$248:$H$248,$B$245:$H$245,$B$238:$H$238,$B$243:$H$243,$B$232,1))</f>
        <v>0</v>
      </c>
      <c r="AL281" s="114">
        <f>IF(AL$233="",AK281,fMkk3($AE281,$AD275,AL$233,$B$229,$B$236:$H$236,$B$247:$H$247,$B$249:$H$249,$B$250:$H297,$B$248:$H$248,$B$245:$H$245,$B$238:$H$238,$B$243:$H$243,$B$232,1))</f>
        <v>0</v>
      </c>
      <c r="AM281" s="121">
        <f>IF(AM$233="",AL281,fMkk3($AE281,$AD275,AM$233,$B$229,$B$236:$H$236,$B$247:$H$247,$B$249:$H$249,$B$250:$H297,$B$248:$H$248,$B$245:$H$245,$B$238:$H$238,$B$243:$H$243,$B$232,1))</f>
        <v>0</v>
      </c>
      <c r="AN281" s="115"/>
      <c r="AO281" s="115"/>
      <c r="AP281" s="116"/>
      <c r="AQ281" s="16"/>
      <c r="AR281" s="124">
        <f t="shared" si="34"/>
        <v>0</v>
      </c>
      <c r="AS281"/>
      <c r="AT281"/>
      <c r="AU281"/>
      <c r="AV281"/>
      <c r="AW281"/>
      <c r="AX281"/>
      <c r="AY281"/>
      <c r="AZ281"/>
      <c r="BA281"/>
      <c r="BB281"/>
      <c r="BC281"/>
      <c r="BD281"/>
    </row>
    <row r="282" spans="1:56" ht="1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C282"/>
      <c r="AD282" s="115"/>
      <c r="AE282" s="115"/>
      <c r="AF282" s="14"/>
      <c r="AG282" s="115"/>
      <c r="AH282" s="115"/>
      <c r="AI282" s="115"/>
      <c r="AJ282" s="115"/>
      <c r="AK282" s="115"/>
      <c r="AL282" s="115"/>
      <c r="AM282" s="115"/>
      <c r="AN282" s="115"/>
      <c r="AO282" s="115"/>
      <c r="AP282" s="116"/>
      <c r="AQ282" s="16"/>
      <c r="AR282" s="115"/>
      <c r="AS282"/>
      <c r="AT282"/>
      <c r="AU282"/>
      <c r="AV282"/>
      <c r="AW282"/>
      <c r="AX282"/>
      <c r="AY282"/>
      <c r="AZ282"/>
      <c r="BA282"/>
      <c r="BB282"/>
      <c r="BC282"/>
      <c r="BD282"/>
    </row>
    <row r="283" spans="1:56" ht="1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C283" s="2" t="s">
        <v>127</v>
      </c>
      <c r="AD283" s="119">
        <f>IF(AD275&gt;=$B$229-1,AD275,AD275+1)</f>
        <v>3</v>
      </c>
      <c r="AE283" s="120">
        <v>0</v>
      </c>
      <c r="AF283" s="14">
        <f>IF(AD289&gt;$B$229-1,AF275,AE283+AF281)</f>
        <v>10.8</v>
      </c>
      <c r="AG283" s="114">
        <f>IF(AG$233="",AE283,fMkk3($AE283,$AD283,AG$233,$B$229,$B$236:$H$236,$B$247:$H$247,$B$249:$H$249,$B$250:$H299,$B$248:$H$248,$B$245:$H$245,$B$238:$H$238,$B$243:$H$243,$B$232,1))</f>
        <v>-227.58700000000002</v>
      </c>
      <c r="AH283" s="114">
        <f>IF(AH$233="",AG283,fMkk3($AE283,$AD283,AH$233,$B$229,$B$236:$H$236,$B$247:$H$247,$B$249:$H$249,$B$250:$H299,$B$248:$H$248,$B$245:$H$245,$B$238:$H$238,$B$243:$H$243,$B$232,1))</f>
        <v>-241.101</v>
      </c>
      <c r="AI283" s="114">
        <f>IF(AI$233="",AH283,fMkk3($AE283,$AD283,AI$233,$B$229,$B$236:$H$236,$B$247:$H$247,$B$249:$H$249,$B$250:$H299,$B$248:$H$248,$B$245:$H$245,$B$238:$H$238,$B$243:$H$243,$B$232,1))</f>
        <v>-241.127</v>
      </c>
      <c r="AJ283" s="114">
        <f>IF(AJ$233="",AI283,fMkk3($AE283,$AD283,AJ$233,$B$229,$B$236:$H$236,$B$247:$H$247,$B$249:$H$249,$B$250:$H299,$B$248:$H$248,$B$245:$H$245,$B$238:$H$238,$B$243:$H$243,$B$232,1))</f>
        <v>-243.08700000000002</v>
      </c>
      <c r="AK283" s="114">
        <f>IF(AK$233="",AJ283,fMkk3($AE283,$AD283,AK$233,$B$229,$B$236:$H$236,$B$247:$H$247,$B$249:$H$249,$B$250:$H299,$B$248:$H$248,$B$245:$H$245,$B$238:$H$238,$B$243:$H$243,$B$232,1))</f>
        <v>-243.08700000000002</v>
      </c>
      <c r="AL283" s="114">
        <f>IF(AL$233="",AK283,fMkk3($AE283,$AD283,AL$233,$B$229,$B$236:$H$236,$B$247:$H$247,$B$249:$H$249,$B$250:$H299,$B$248:$H$248,$B$245:$H$245,$B$238:$H$238,$B$243:$H$243,$B$232,1))</f>
        <v>-243.08700000000002</v>
      </c>
      <c r="AM283" s="121">
        <f>IF(AM$233="",AL283,fMkk3($AE283,$AD283,AM$233,$B$229,$B$236:$H$236,$B$247:$H$247,$B$249:$H$249,$B$250:$H299,$B$248:$H$248,$B$245:$H$245,$B$238:$H$238,$B$243:$H$243,$B$232,1))</f>
        <v>-243.08700000000002</v>
      </c>
      <c r="AN283" s="115"/>
      <c r="AO283" s="115"/>
      <c r="AP283" s="116"/>
      <c r="AQ283" s="16"/>
      <c r="AR283" s="124">
        <f aca="true" t="shared" si="35" ref="AR283:AR289">MIN(AG283:AM283)</f>
        <v>-243.08700000000002</v>
      </c>
      <c r="AS283"/>
      <c r="AT283"/>
      <c r="AU283"/>
      <c r="AV283"/>
      <c r="AW283"/>
      <c r="AX283"/>
      <c r="AY283"/>
      <c r="AZ283"/>
      <c r="BA283"/>
      <c r="BB283"/>
      <c r="BC283"/>
      <c r="BD283"/>
    </row>
    <row r="284" spans="1:56" ht="1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C284" s="2" t="s">
        <v>128</v>
      </c>
      <c r="AD284" s="15">
        <f>INDEX(B$236:H$236,1,AD283)</f>
        <v>6</v>
      </c>
      <c r="AE284" s="120">
        <f>MIN(AD287/2,AD286,2)</f>
        <v>0.2</v>
      </c>
      <c r="AF284" s="14">
        <f>IF(AD289&gt;$B$229-1,AF276,AE284+AF281)</f>
        <v>11</v>
      </c>
      <c r="AG284" s="114">
        <f>IF(AG$233="",AE284,fMkk3($AE284,$AD283,AG$233,$B$229,$B$236:$H$236,$B$247:$H$247,$B$249:$H$249,$B$250:$H300,$B$248:$H$248,$B$245:$H$245,$B$238:$H$238,$B$243:$H$243,$B$232,1))</f>
        <v>-168.39490625</v>
      </c>
      <c r="AH284" s="114">
        <f>IF(AH$233="",AG284,fMkk3($AE284,$AD283,AH$233,$B$229,$B$236:$H$236,$B$247:$H$247,$B$249:$H$249,$B$250:$H300,$B$248:$H$248,$B$245:$H$245,$B$238:$H$238,$B$243:$H$243,$B$232,1))</f>
        <v>-200.08659375000002</v>
      </c>
      <c r="AI284" s="114">
        <f>IF(AI$233="",AH284,fMkk3($AE284,$AD283,AI$233,$B$229,$B$236:$H$236,$B$247:$H$247,$B$249:$H$249,$B$250:$H300,$B$248:$H$248,$B$245:$H$245,$B$238:$H$238,$B$243:$H$243,$B$232,1))</f>
        <v>-200.11178124999998</v>
      </c>
      <c r="AJ284" s="114">
        <f>IF(AJ$233="",AI284,fMkk3($AE284,$AD283,AJ$233,$B$229,$B$236:$H$236,$B$247:$H$247,$B$249:$H$249,$B$250:$H300,$B$248:$H$248,$B$245:$H$245,$B$238:$H$238,$B$243:$H$243,$B$232,1))</f>
        <v>-183.41053125</v>
      </c>
      <c r="AK284" s="114">
        <f>IF(AK$233="",AJ284,fMkk3($AE284,$AD283,AK$233,$B$229,$B$236:$H$236,$B$247:$H$247,$B$249:$H$249,$B$250:$H300,$B$248:$H$248,$B$245:$H$245,$B$238:$H$238,$B$243:$H$243,$B$232,1))</f>
        <v>-183.41053125</v>
      </c>
      <c r="AL284" s="114">
        <f>IF(AL$233="",AK284,fMkk3($AE284,$AD283,AL$233,$B$229,$B$236:$H$236,$B$247:$H$247,$B$249:$H$249,$B$250:$H300,$B$248:$H$248,$B$245:$H$245,$B$238:$H$238,$B$243:$H$243,$B$232,1))</f>
        <v>-183.41053125</v>
      </c>
      <c r="AM284" s="121">
        <f>IF(AM$233="",AL284,fMkk3($AE284,$AD283,AM$233,$B$229,$B$236:$H$236,$B$247:$H$247,$B$249:$H$249,$B$250:$H300,$B$248:$H$248,$B$245:$H$245,$B$238:$H$238,$B$243:$H$243,$B$232,1))</f>
        <v>-183.41053125</v>
      </c>
      <c r="AN284" s="115"/>
      <c r="AO284" s="115"/>
      <c r="AP284" s="116"/>
      <c r="AQ284" s="16"/>
      <c r="AR284" s="124">
        <f t="shared" si="35"/>
        <v>-200.11178124999998</v>
      </c>
      <c r="AS284"/>
      <c r="AT284"/>
      <c r="AU284"/>
      <c r="AV284"/>
      <c r="AW284"/>
      <c r="AX284"/>
      <c r="AY284"/>
      <c r="AZ284"/>
      <c r="BA284"/>
      <c r="BB284"/>
      <c r="BC284"/>
      <c r="BD284"/>
    </row>
    <row r="285" spans="1:56" ht="1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C285" s="2" t="s">
        <v>129</v>
      </c>
      <c r="AD285" s="15">
        <f>INDEX(B$247:H$247,1,AD283)</f>
        <v>6.4</v>
      </c>
      <c r="AE285" s="120">
        <f>AD285/4</f>
        <v>1.6</v>
      </c>
      <c r="AF285" s="14">
        <f>IF(AD289&gt;$B$229-1,AF277,AE285+AF281)</f>
        <v>12.4</v>
      </c>
      <c r="AG285" s="114">
        <f>IF(AG$233="",AE285,fMkk3($AE285,$AD283,AG$233,$B$229,$B$236:$H$236,$B$247:$H$247,$B$249:$H$249,$B$250:$H301,$B$248:$H$248,$B$245:$H$245,$B$238:$H$238,$B$243:$H$243,$B$232,1))</f>
        <v>151.86975000000004</v>
      </c>
      <c r="AH285" s="114">
        <f>IF(AH$233="",AG285,fMkk3($AE285,$AD283,AH$233,$B$229,$B$236:$H$236,$B$247:$H$247,$B$249:$H$249,$B$250:$H301,$B$248:$H$248,$B$245:$H$245,$B$238:$H$238,$B$243:$H$243,$B$232,1))</f>
        <v>26.534250000000043</v>
      </c>
      <c r="AI285" s="114">
        <f>IF(AI$233="",AH285,fMkk3($AE285,$AD283,AI$233,$B$229,$B$236:$H$236,$B$247:$H$247,$B$249:$H$249,$B$250:$H301,$B$248:$H$248,$B$245:$H$245,$B$238:$H$238,$B$243:$H$243,$B$232,1))</f>
        <v>26.51475000000002</v>
      </c>
      <c r="AJ285" s="114">
        <f>IF(AJ$233="",AI285,fMkk3($AE285,$AD283,AJ$233,$B$229,$B$236:$H$236,$B$247:$H$247,$B$249:$H$249,$B$250:$H301,$B$248:$H$248,$B$245:$H$245,$B$238:$H$238,$B$243:$H$243,$B$232,1))</f>
        <v>140.24475000000004</v>
      </c>
      <c r="AK285" s="114">
        <f>IF(AK$233="",AJ285,fMkk3($AE285,$AD283,AK$233,$B$229,$B$236:$H$236,$B$247:$H$247,$B$249:$H$249,$B$250:$H301,$B$248:$H$248,$B$245:$H$245,$B$238:$H$238,$B$243:$H$243,$B$232,1))</f>
        <v>140.24475000000004</v>
      </c>
      <c r="AL285" s="114">
        <f>IF(AL$233="",AK285,fMkk3($AE285,$AD283,AL$233,$B$229,$B$236:$H$236,$B$247:$H$247,$B$249:$H$249,$B$250:$H301,$B$248:$H$248,$B$245:$H$245,$B$238:$H$238,$B$243:$H$243,$B$232,1))</f>
        <v>140.24475000000004</v>
      </c>
      <c r="AM285" s="121">
        <f>IF(AM$233="",AL285,fMkk3($AE285,$AD283,AM$233,$B$229,$B$236:$H$236,$B$247:$H$247,$B$249:$H$249,$B$250:$H301,$B$248:$H$248,$B$245:$H$245,$B$238:$H$238,$B$243:$H$243,$B$232,1))</f>
        <v>140.24475000000004</v>
      </c>
      <c r="AN285" s="115"/>
      <c r="AO285" s="115"/>
      <c r="AP285" s="116"/>
      <c r="AQ285" s="16"/>
      <c r="AR285" s="124">
        <f t="shared" si="35"/>
        <v>26.51475000000002</v>
      </c>
      <c r="AS285"/>
      <c r="AT285"/>
      <c r="AU285"/>
      <c r="AV285"/>
      <c r="AW285"/>
      <c r="AX285"/>
      <c r="AY285"/>
      <c r="AZ285"/>
      <c r="BA285"/>
      <c r="BB285"/>
      <c r="BC285"/>
      <c r="BD285"/>
    </row>
    <row r="286" spans="1:56" ht="1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C286" s="2" t="s">
        <v>25</v>
      </c>
      <c r="AD286" s="15">
        <f>INDEX(B$238:H$238,1,AD283)</f>
        <v>0.7</v>
      </c>
      <c r="AE286" s="120">
        <f>AD285/2</f>
        <v>3.2</v>
      </c>
      <c r="AF286" s="14">
        <f>IF(AD289&gt;$B$229-1,AF278,AE286+AF281)</f>
        <v>14</v>
      </c>
      <c r="AG286" s="114">
        <f>IF(AG$233="",AE286,fMkk3($AE286,$AD283,AG$233,$B$229,$B$236:$H$236,$B$247:$H$247,$B$249:$H$249,$B$250:$H302,$B$248:$H$248,$B$245:$H$245,$B$238:$H$238,$B$243:$H$243,$B$232,1))</f>
        <v>316.28650000000005</v>
      </c>
      <c r="AH286" s="114">
        <f>IF(AH$233="",AG286,fMkk3($AE286,$AD283,AH$233,$B$229,$B$236:$H$236,$B$247:$H$247,$B$249:$H$249,$B$250:$H302,$B$248:$H$248,$B$245:$H$245,$B$238:$H$238,$B$243:$H$243,$B$232,1))</f>
        <v>155.92950000000002</v>
      </c>
      <c r="AI286" s="114">
        <f>IF(AI$233="",AH286,fMkk3($AE286,$AD283,AI$233,$B$229,$B$236:$H$236,$B$247:$H$247,$B$249:$H$249,$B$250:$H302,$B$248:$H$248,$B$245:$H$245,$B$238:$H$238,$B$243:$H$243,$B$232,1))</f>
        <v>155.9165</v>
      </c>
      <c r="AJ286" s="114">
        <f>IF(AJ$233="",AI286,fMkk3($AE286,$AD283,AJ$233,$B$229,$B$236:$H$236,$B$247:$H$247,$B$249:$H$249,$B$250:$H302,$B$248:$H$248,$B$245:$H$245,$B$238:$H$238,$B$243:$H$243,$B$232,1))</f>
        <v>308.53650000000005</v>
      </c>
      <c r="AK286" s="114">
        <f>IF(AK$233="",AJ286,fMkk3($AE286,$AD283,AK$233,$B$229,$B$236:$H$236,$B$247:$H$247,$B$249:$H$249,$B$250:$H302,$B$248:$H$248,$B$245:$H$245,$B$238:$H$238,$B$243:$H$243,$B$232,1))</f>
        <v>308.53650000000005</v>
      </c>
      <c r="AL286" s="114">
        <f>IF(AL$233="",AK286,fMkk3($AE286,$AD283,AL$233,$B$229,$B$236:$H$236,$B$247:$H$247,$B$249:$H$249,$B$250:$H302,$B$248:$H$248,$B$245:$H$245,$B$238:$H$238,$B$243:$H$243,$B$232,1))</f>
        <v>308.53650000000005</v>
      </c>
      <c r="AM286" s="121">
        <f>IF(AM$233="",AL286,fMkk3($AE286,$AD283,AM$233,$B$229,$B$236:$H$236,$B$247:$H$247,$B$249:$H$249,$B$250:$H302,$B$248:$H$248,$B$245:$H$245,$B$238:$H$238,$B$243:$H$243,$B$232,1))</f>
        <v>308.53650000000005</v>
      </c>
      <c r="AN286" s="115"/>
      <c r="AO286" s="115"/>
      <c r="AP286" s="116"/>
      <c r="AQ286" s="16"/>
      <c r="AR286" s="124">
        <f t="shared" si="35"/>
        <v>155.9165</v>
      </c>
      <c r="AS286"/>
      <c r="AT286"/>
      <c r="AU286"/>
      <c r="AV286"/>
      <c r="AW286"/>
      <c r="AX286"/>
      <c r="AY286"/>
      <c r="AZ286"/>
      <c r="BA286"/>
      <c r="BB286"/>
      <c r="BC286"/>
      <c r="BD286"/>
    </row>
    <row r="287" spans="1:56" ht="1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C287" s="2" t="s">
        <v>130</v>
      </c>
      <c r="AD287" s="15">
        <f>INDEX(B$245:H$245,1,AD283)</f>
        <v>0.4</v>
      </c>
      <c r="AE287" s="120">
        <f>AD285*0.75</f>
        <v>4.800000000000001</v>
      </c>
      <c r="AF287" s="14">
        <f>IF(AD289&gt;$B$229-1,AF279,AE287+AF281)</f>
        <v>15.600000000000001</v>
      </c>
      <c r="AG287" s="114">
        <f>IF(AG$233="",AE287,fMkk3($AE287,$AD283,AG$233,$B$229,$B$236:$H$236,$B$247:$H$247,$B$249:$H$249,$B$250:$H303,$B$248:$H$248,$B$245:$H$245,$B$238:$H$238,$B$243:$H$243,$B$232,1))</f>
        <v>265.66324999999995</v>
      </c>
      <c r="AH287" s="114">
        <f>IF(AH$233="",AG287,fMkk3($AE287,$AD283,AH$233,$B$229,$B$236:$H$236,$B$247:$H$247,$B$249:$H$249,$B$250:$H303,$B$248:$H$248,$B$245:$H$245,$B$238:$H$238,$B$243:$H$243,$B$232,1))</f>
        <v>147.08475</v>
      </c>
      <c r="AI287" s="114">
        <f>IF(AI$233="",AH287,fMkk3($AE287,$AD283,AI$233,$B$229,$B$236:$H$236,$B$247:$H$247,$B$249:$H$249,$B$250:$H303,$B$248:$H$248,$B$245:$H$245,$B$238:$H$238,$B$243:$H$243,$B$232,1))</f>
        <v>147.07825000000003</v>
      </c>
      <c r="AJ287" s="114">
        <f>IF(AJ$233="",AI287,fMkk3($AE287,$AD283,AJ$233,$B$229,$B$236:$H$236,$B$247:$H$247,$B$249:$H$249,$B$250:$H303,$B$248:$H$248,$B$245:$H$245,$B$238:$H$238,$B$243:$H$243,$B$232,1))</f>
        <v>261.78824999999995</v>
      </c>
      <c r="AK287" s="114">
        <f>IF(AK$233="",AJ287,fMkk3($AE287,$AD283,AK$233,$B$229,$B$236:$H$236,$B$247:$H$247,$B$249:$H$249,$B$250:$H303,$B$248:$H$248,$B$245:$H$245,$B$238:$H$238,$B$243:$H$243,$B$232,1))</f>
        <v>261.78824999999995</v>
      </c>
      <c r="AL287" s="114">
        <f>IF(AL$233="",AK287,fMkk3($AE287,$AD283,AL$233,$B$229,$B$236:$H$236,$B$247:$H$247,$B$249:$H$249,$B$250:$H303,$B$248:$H$248,$B$245:$H$245,$B$238:$H$238,$B$243:$H$243,$B$232,1))</f>
        <v>261.78824999999995</v>
      </c>
      <c r="AM287" s="121">
        <f>IF(AM$233="",AL287,fMkk3($AE287,$AD283,AM$233,$B$229,$B$236:$H$236,$B$247:$H$247,$B$249:$H$249,$B$250:$H303,$B$248:$H$248,$B$245:$H$245,$B$238:$H$238,$B$243:$H$243,$B$232,1))</f>
        <v>261.78824999999995</v>
      </c>
      <c r="AN287" s="115"/>
      <c r="AO287" s="115"/>
      <c r="AP287" s="116"/>
      <c r="AQ287" s="16"/>
      <c r="AR287" s="124">
        <f t="shared" si="35"/>
        <v>147.07825000000003</v>
      </c>
      <c r="AS287"/>
      <c r="AT287"/>
      <c r="AU287"/>
      <c r="AV287"/>
      <c r="AW287"/>
      <c r="AX287"/>
      <c r="AY287"/>
      <c r="AZ287"/>
      <c r="BA287"/>
      <c r="BB287"/>
      <c r="BC287"/>
      <c r="BD287"/>
    </row>
    <row r="288" spans="1:56" ht="1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AA288"/>
      <c r="AC288" s="2" t="s">
        <v>131</v>
      </c>
      <c r="AD288" s="15">
        <f>INDEX(B$245:H$245,1,AD283+1)</f>
        <v>0.4</v>
      </c>
      <c r="AE288" s="120">
        <f>AD285-MIN(AD286/2,AD288/2)</f>
        <v>6.2</v>
      </c>
      <c r="AF288" s="14">
        <f>IF(AD289&gt;$B$229-1,AF280,AE288+AF281)</f>
        <v>17</v>
      </c>
      <c r="AG288" s="114">
        <f>IF(AG$233="",AE288,fMkk3($AE288,$AD283,AG$233,$B$229,$B$236:$H$236,$B$247:$H$247,$B$249:$H$249,$B$250:$H304,$B$248:$H$248,$B$245:$H$245,$B$238:$H$238,$B$243:$H$243,$B$232,1))</f>
        <v>44.967906250000055</v>
      </c>
      <c r="AH288" s="114">
        <f>IF(AH$233="",AG288,fMkk3($AE288,$AD283,AH$233,$B$229,$B$236:$H$236,$B$247:$H$247,$B$249:$H$249,$B$250:$H304,$B$248:$H$248,$B$245:$H$245,$B$238:$H$238,$B$243:$H$243,$B$232,1))</f>
        <v>25.945593750000032</v>
      </c>
      <c r="AI288" s="114">
        <f>IF(AI$233="",AH288,fMkk3($AE288,$AD283,AI$233,$B$229,$B$236:$H$236,$B$247:$H$247,$B$249:$H$249,$B$250:$H304,$B$248:$H$248,$B$245:$H$245,$B$238:$H$238,$B$243:$H$243,$B$232,1))</f>
        <v>25.944781250000034</v>
      </c>
      <c r="AJ288" s="114">
        <f>IF(AJ$233="",AI288,fMkk3($AE288,$AD283,AJ$233,$B$229,$B$236:$H$236,$B$247:$H$247,$B$249:$H$249,$B$250:$H304,$B$248:$H$248,$B$245:$H$245,$B$238:$H$238,$B$243:$H$243,$B$232,1))</f>
        <v>44.483531250000055</v>
      </c>
      <c r="AK288" s="114">
        <f>IF(AK$233="",AJ288,fMkk3($AE288,$AD283,AK$233,$B$229,$B$236:$H$236,$B$247:$H$247,$B$249:$H$249,$B$250:$H304,$B$248:$H$248,$B$245:$H$245,$B$238:$H$238,$B$243:$H$243,$B$232,1))</f>
        <v>44.483531250000055</v>
      </c>
      <c r="AL288" s="114">
        <f>IF(AL$233="",AK288,fMkk3($AE288,$AD283,AL$233,$B$229,$B$236:$H$236,$B$247:$H$247,$B$249:$H$249,$B$250:$H304,$B$248:$H$248,$B$245:$H$245,$B$238:$H$238,$B$243:$H$243,$B$232,1))</f>
        <v>44.483531250000055</v>
      </c>
      <c r="AM288" s="121">
        <f>IF(AM$233="",AL288,fMkk3($AE288,$AD283,AM$233,$B$229,$B$236:$H$236,$B$247:$H$247,$B$249:$H$249,$B$250:$H304,$B$248:$H$248,$B$245:$H$245,$B$238:$H$238,$B$243:$H$243,$B$232,1))</f>
        <v>44.483531250000055</v>
      </c>
      <c r="AN288" s="115"/>
      <c r="AO288" s="115"/>
      <c r="AP288" s="116"/>
      <c r="AQ288" s="16"/>
      <c r="AR288" s="124">
        <f t="shared" si="35"/>
        <v>25.944781250000034</v>
      </c>
      <c r="AS288"/>
      <c r="AT288"/>
      <c r="AU288"/>
      <c r="AV288"/>
      <c r="AW288"/>
      <c r="AX288"/>
      <c r="AY288"/>
      <c r="AZ288"/>
      <c r="BA288"/>
      <c r="BB288"/>
      <c r="BC288"/>
      <c r="BD288"/>
    </row>
    <row r="289" spans="1:56" ht="12">
      <c r="A289" s="146"/>
      <c r="B289" s="146"/>
      <c r="C289" s="146"/>
      <c r="D289" s="146"/>
      <c r="E289" s="146"/>
      <c r="F289" s="146"/>
      <c r="G289" s="146"/>
      <c r="H289" s="146"/>
      <c r="I289" s="146"/>
      <c r="J289" s="146"/>
      <c r="K289" s="146"/>
      <c r="L289" s="146"/>
      <c r="M289" s="146"/>
      <c r="N289" s="146"/>
      <c r="O289" s="146"/>
      <c r="AA289"/>
      <c r="AC289" s="2" t="s">
        <v>138</v>
      </c>
      <c r="AD289" s="15">
        <f>1+AD281</f>
        <v>7</v>
      </c>
      <c r="AE289" s="120">
        <f>AD285</f>
        <v>6.4</v>
      </c>
      <c r="AF289" s="14">
        <f>IF(AD289&gt;$B$229-1,AF281,AE289+AF281)</f>
        <v>17.200000000000003</v>
      </c>
      <c r="AG289" s="114">
        <f>IF(AG$233="",AE289,fMkk3($AE289,$AD283,AG$233,$B$229,$B$236:$H$236,$B$247:$H$247,$B$249:$H$249,$B$250:$H305,$B$248:$H$248,$B$245:$H$245,$B$238:$H$238,$B$243:$H$243,$B$232,1))</f>
        <v>0</v>
      </c>
      <c r="AH289" s="114">
        <f>IF(AH$233="",AG289,fMkk3($AE289,$AD283,AH$233,$B$229,$B$236:$H$236,$B$247:$H$247,$B$249:$H$249,$B$250:$H305,$B$248:$H$248,$B$245:$H$245,$B$238:$H$238,$B$243:$H$243,$B$232,1))</f>
        <v>0</v>
      </c>
      <c r="AI289" s="114">
        <f>IF(AI$233="",AH289,fMkk3($AE289,$AD283,AI$233,$B$229,$B$236:$H$236,$B$247:$H$247,$B$249:$H$249,$B$250:$H305,$B$248:$H$248,$B$245:$H$245,$B$238:$H$238,$B$243:$H$243,$B$232,1))</f>
        <v>0</v>
      </c>
      <c r="AJ289" s="114">
        <f>IF(AJ$233="",AI289,fMkk3($AE289,$AD283,AJ$233,$B$229,$B$236:$H$236,$B$247:$H$247,$B$249:$H$249,$B$250:$H305,$B$248:$H$248,$B$245:$H$245,$B$238:$H$238,$B$243:$H$243,$B$232,1))</f>
        <v>0</v>
      </c>
      <c r="AK289" s="114">
        <f>IF(AK$233="",AJ289,fMkk3($AE289,$AD283,AK$233,$B$229,$B$236:$H$236,$B$247:$H$247,$B$249:$H$249,$B$250:$H305,$B$248:$H$248,$B$245:$H$245,$B$238:$H$238,$B$243:$H$243,$B$232,1))</f>
        <v>0</v>
      </c>
      <c r="AL289" s="114">
        <f>IF(AL$233="",AK289,fMkk3($AE289,$AD283,AL$233,$B$229,$B$236:$H$236,$B$247:$H$247,$B$249:$H$249,$B$250:$H305,$B$248:$H$248,$B$245:$H$245,$B$238:$H$238,$B$243:$H$243,$B$232,1))</f>
        <v>0</v>
      </c>
      <c r="AM289" s="121">
        <f>IF(AM$233="",AL289,fMkk3($AE289,$AD283,AM$233,$B$229,$B$236:$H$236,$B$247:$H$247,$B$249:$H$249,$B$250:$H305,$B$248:$H$248,$B$245:$H$245,$B$238:$H$238,$B$243:$H$243,$B$232,1))</f>
        <v>0</v>
      </c>
      <c r="AN289" s="115"/>
      <c r="AO289" s="115"/>
      <c r="AP289" s="116"/>
      <c r="AQ289" s="16"/>
      <c r="AR289" s="124">
        <f t="shared" si="35"/>
        <v>0</v>
      </c>
      <c r="AS289"/>
      <c r="AT289"/>
      <c r="AU289"/>
      <c r="AV289"/>
      <c r="AW289"/>
      <c r="AX289"/>
      <c r="AY289"/>
      <c r="AZ289"/>
      <c r="BA289"/>
      <c r="BB289"/>
      <c r="BC289"/>
      <c r="BD289"/>
    </row>
    <row r="290" spans="1:56" ht="12.75" thickBot="1">
      <c r="A290" s="88" t="s">
        <v>673</v>
      </c>
      <c r="B290"/>
      <c r="C290"/>
      <c r="D290"/>
      <c r="E290"/>
      <c r="L290"/>
      <c r="M290"/>
      <c r="N290"/>
      <c r="O290"/>
      <c r="V290" s="29" t="s">
        <v>410</v>
      </c>
      <c r="AB290"/>
      <c r="AC290"/>
      <c r="AD290" s="115"/>
      <c r="AE290" s="115"/>
      <c r="AF290" s="117"/>
      <c r="AG290" s="115"/>
      <c r="AH290" s="115"/>
      <c r="AI290" s="115"/>
      <c r="AJ290" s="115"/>
      <c r="AK290" s="115"/>
      <c r="AL290" s="115"/>
      <c r="AM290" s="115"/>
      <c r="AN290" s="115"/>
      <c r="AO290" s="115"/>
      <c r="AP290" s="116"/>
      <c r="AQ290" s="116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</row>
    <row r="291" spans="2:56" ht="14.25" thickTop="1">
      <c r="B291" t="s">
        <v>175</v>
      </c>
      <c r="C291"/>
      <c r="D291"/>
      <c r="E291"/>
      <c r="F291" s="2" t="s">
        <v>174</v>
      </c>
      <c r="G291" s="19">
        <f aca="true" t="array" ref="G291">SUM(IF(E294:M294="",0,1))+1</f>
        <v>6</v>
      </c>
      <c r="H291"/>
      <c r="I291" s="3" t="s">
        <v>104</v>
      </c>
      <c r="J291" s="483">
        <v>1.35</v>
      </c>
      <c r="K291" t="s">
        <v>176</v>
      </c>
      <c r="L291"/>
      <c r="M291"/>
      <c r="N291"/>
      <c r="O291"/>
      <c r="V291" s="138" t="s">
        <v>503</v>
      </c>
      <c r="AB291"/>
      <c r="AC291" t="s">
        <v>139</v>
      </c>
      <c r="AD291" s="15">
        <f>AD241</f>
        <v>1</v>
      </c>
      <c r="AE291" s="15"/>
      <c r="AF291" s="14">
        <f>INDEX(AF$235:AF$289,(AD291-1)*8+2,1)</f>
        <v>0.2</v>
      </c>
      <c r="AG291" s="115"/>
      <c r="AH291" s="115"/>
      <c r="AI291" s="115"/>
      <c r="AJ291" s="115"/>
      <c r="AK291" s="115"/>
      <c r="AL291" s="115"/>
      <c r="AM291" s="115"/>
      <c r="AN291" s="15">
        <f>INDEX(AR$235:AR$289,(AD291-1)*8+2,1)</f>
        <v>19.288740740740742</v>
      </c>
      <c r="AO291" s="115"/>
      <c r="AP291" s="116"/>
      <c r="AQ291" s="116"/>
      <c r="AR291" s="130">
        <f>MIN(AR235:AR289)</f>
        <v>-243.75400000000002</v>
      </c>
      <c r="AS291" s="5" t="s">
        <v>147</v>
      </c>
      <c r="AT291"/>
      <c r="AU291"/>
      <c r="AV291"/>
      <c r="AW291"/>
      <c r="AX291"/>
      <c r="AY291"/>
      <c r="AZ291"/>
      <c r="BA291"/>
      <c r="BB291"/>
      <c r="BC291"/>
      <c r="BD291"/>
    </row>
    <row r="292" spans="6:56" ht="14.25" thickBot="1">
      <c r="F292"/>
      <c r="G292"/>
      <c r="H292"/>
      <c r="I292" s="3" t="s">
        <v>105</v>
      </c>
      <c r="J292" s="486">
        <v>1.5</v>
      </c>
      <c r="K292" t="s">
        <v>177</v>
      </c>
      <c r="V292" s="29" t="s">
        <v>411</v>
      </c>
      <c r="AB292"/>
      <c r="AC292"/>
      <c r="AD292" s="115"/>
      <c r="AE292" s="15"/>
      <c r="AF292" s="14">
        <f>AF291</f>
        <v>0.2</v>
      </c>
      <c r="AG292" s="115"/>
      <c r="AH292" s="115"/>
      <c r="AI292" s="115"/>
      <c r="AJ292" s="115"/>
      <c r="AK292" s="115"/>
      <c r="AL292" s="115"/>
      <c r="AM292" s="115"/>
      <c r="AN292" s="15">
        <v>0</v>
      </c>
      <c r="AO292" s="115"/>
      <c r="AP292" s="116"/>
      <c r="AQ292" s="116"/>
      <c r="AR292" s="111">
        <f>MAX(AR235:AR289)</f>
        <v>155.9165</v>
      </c>
      <c r="AS292" s="5" t="s">
        <v>148</v>
      </c>
      <c r="AU292"/>
      <c r="AV292"/>
      <c r="AW292"/>
      <c r="AX292"/>
      <c r="AY292"/>
      <c r="AZ292"/>
      <c r="BA292"/>
      <c r="BB292"/>
      <c r="BC292"/>
      <c r="BD292"/>
    </row>
    <row r="293" spans="1:56" ht="13.5" thickBot="1" thickTop="1">
      <c r="A293" t="s">
        <v>173</v>
      </c>
      <c r="E293" s="1">
        <v>1</v>
      </c>
      <c r="F293" s="1">
        <f aca="true" t="shared" si="36" ref="F293:O293">IF(E293&lt;$G291-1,E293+1,"")</f>
        <v>2</v>
      </c>
      <c r="G293" s="1">
        <f t="shared" si="36"/>
        <v>3</v>
      </c>
      <c r="H293" s="1">
        <f t="shared" si="36"/>
        <v>4</v>
      </c>
      <c r="I293" s="1">
        <f t="shared" si="36"/>
        <v>5</v>
      </c>
      <c r="J293" s="1">
        <f t="shared" si="36"/>
      </c>
      <c r="K293" s="1">
        <f t="shared" si="36"/>
      </c>
      <c r="L293" s="1">
        <f t="shared" si="36"/>
      </c>
      <c r="M293" s="1">
        <f t="shared" si="36"/>
      </c>
      <c r="N293" s="1">
        <f t="shared" si="36"/>
      </c>
      <c r="O293" s="1">
        <f t="shared" si="36"/>
      </c>
      <c r="U293" s="2" t="s">
        <v>505</v>
      </c>
      <c r="V293" s="138" t="s">
        <v>504</v>
      </c>
      <c r="AB293"/>
      <c r="AC293"/>
      <c r="AD293" s="115"/>
      <c r="AE293" s="15"/>
      <c r="AF293" s="14"/>
      <c r="AG293" s="115"/>
      <c r="AH293" s="115"/>
      <c r="AI293" s="115"/>
      <c r="AJ293" s="115"/>
      <c r="AK293" s="115"/>
      <c r="AL293" s="115"/>
      <c r="AM293" s="115"/>
      <c r="AN293" s="15"/>
      <c r="AO293" s="115"/>
      <c r="AP293" s="116"/>
      <c r="AQ293" s="116"/>
      <c r="AR293" s="132">
        <v>0.3</v>
      </c>
      <c r="AS293" s="5" t="s">
        <v>149</v>
      </c>
      <c r="AU293"/>
      <c r="AV293"/>
      <c r="AW293"/>
      <c r="AX293"/>
      <c r="AY293"/>
      <c r="AZ293"/>
      <c r="BA293"/>
      <c r="BB293"/>
      <c r="BC293"/>
      <c r="BD293"/>
    </row>
    <row r="294" spans="2:56" ht="12.75" thickTop="1">
      <c r="B294" s="144" t="s">
        <v>100</v>
      </c>
      <c r="C294" s="2" t="s">
        <v>18</v>
      </c>
      <c r="D294" s="1" t="s">
        <v>98</v>
      </c>
      <c r="E294" s="493">
        <v>12</v>
      </c>
      <c r="F294" s="494">
        <v>10</v>
      </c>
      <c r="G294" s="494">
        <v>14</v>
      </c>
      <c r="H294" s="494">
        <v>12</v>
      </c>
      <c r="I294" s="494">
        <v>10</v>
      </c>
      <c r="J294" s="504"/>
      <c r="K294" s="504"/>
      <c r="L294" s="504"/>
      <c r="M294" s="505"/>
      <c r="U294" s="2" t="s">
        <v>414</v>
      </c>
      <c r="V294" s="138" t="s">
        <v>415</v>
      </c>
      <c r="AB294"/>
      <c r="AC294"/>
      <c r="AD294" s="115"/>
      <c r="AE294" s="15"/>
      <c r="AF294" s="14">
        <f>INDEX(AF$235:AF$289,(AD291-1)*8+6,1)</f>
        <v>5.2</v>
      </c>
      <c r="AG294" s="115"/>
      <c r="AH294" s="115"/>
      <c r="AI294" s="115"/>
      <c r="AJ294" s="115"/>
      <c r="AK294" s="115"/>
      <c r="AL294" s="115"/>
      <c r="AM294" s="115"/>
      <c r="AN294" s="15">
        <f>INDEX(AR$235:AR$289,(AD291-1)*8+6,1)</f>
        <v>-200.49274074074071</v>
      </c>
      <c r="AO294" s="115"/>
      <c r="AP294" s="116"/>
      <c r="AQ294" s="116"/>
      <c r="AU294"/>
      <c r="AV294"/>
      <c r="AW294"/>
      <c r="AX294"/>
      <c r="AY294"/>
      <c r="AZ294"/>
      <c r="BA294"/>
      <c r="BB294"/>
      <c r="BC294"/>
      <c r="BD294"/>
    </row>
    <row r="295" spans="2:56" ht="12.75" thickBot="1">
      <c r="B295" s="144" t="s">
        <v>101</v>
      </c>
      <c r="C295" s="2" t="s">
        <v>93</v>
      </c>
      <c r="D295" s="1" t="s">
        <v>98</v>
      </c>
      <c r="E295" s="506">
        <v>6</v>
      </c>
      <c r="F295" s="507">
        <v>5</v>
      </c>
      <c r="G295" s="507">
        <v>5</v>
      </c>
      <c r="H295" s="507">
        <v>6</v>
      </c>
      <c r="I295" s="507">
        <v>4</v>
      </c>
      <c r="J295" s="508"/>
      <c r="K295" s="508"/>
      <c r="L295" s="508"/>
      <c r="M295" s="509"/>
      <c r="AB295"/>
      <c r="AC295"/>
      <c r="AD295" s="115"/>
      <c r="AE295" s="15"/>
      <c r="AF295" s="14">
        <f>AF294</f>
        <v>5.2</v>
      </c>
      <c r="AG295" s="115"/>
      <c r="AH295" s="115"/>
      <c r="AI295" s="115"/>
      <c r="AJ295" s="115"/>
      <c r="AK295" s="115"/>
      <c r="AL295" s="115"/>
      <c r="AM295" s="115"/>
      <c r="AN295" s="15">
        <v>0</v>
      </c>
      <c r="AO295" s="115"/>
      <c r="AP295" s="116"/>
      <c r="AQ295" s="116"/>
      <c r="AU295"/>
      <c r="AV295"/>
      <c r="AW295"/>
      <c r="AX295"/>
      <c r="AY295"/>
      <c r="AZ295"/>
      <c r="BA295"/>
      <c r="BB295"/>
      <c r="BC295"/>
      <c r="BD295"/>
    </row>
    <row r="296" spans="1:56" ht="12.75" thickTop="1">
      <c r="A296" s="554">
        <v>1</v>
      </c>
      <c r="B296" s="555"/>
      <c r="C296" s="2" t="str">
        <f>IF(A296="","","p")</f>
        <v>p</v>
      </c>
      <c r="D296" s="1" t="str">
        <f>IF(A296="","","kNm")</f>
        <v>kNm</v>
      </c>
      <c r="E296" s="103">
        <f aca="true" t="shared" si="37" ref="E296:M305">IF($N296="","",IF(E$293="","",macf($N296,E$293)))</f>
        <v>25.200000000000003</v>
      </c>
      <c r="F296" s="103">
        <f t="shared" si="37"/>
        <v>13.5</v>
      </c>
      <c r="G296" s="103">
        <f t="shared" si="37"/>
        <v>26.400000000000002</v>
      </c>
      <c r="H296" s="103">
        <f t="shared" si="37"/>
        <v>16.2</v>
      </c>
      <c r="I296" s="103">
        <f t="shared" si="37"/>
        <v>19.5</v>
      </c>
      <c r="J296" s="103">
        <f t="shared" si="37"/>
      </c>
      <c r="K296" s="103">
        <f t="shared" si="37"/>
      </c>
      <c r="L296" s="103">
        <f t="shared" si="37"/>
      </c>
      <c r="M296" s="103">
        <f t="shared" si="37"/>
      </c>
      <c r="N296" s="145" t="str">
        <f aca="true" t="shared" si="38" ref="N296:N305">IF($A296="","",fcch($A296,$G$291,$J$291,$J$292,$E$294:$M$294,$E$295:$M$295))</f>
        <v>330225200033021350003302264000330216200033021950000000000000</v>
      </c>
      <c r="O296"/>
      <c r="AB296"/>
      <c r="AC296"/>
      <c r="AD296" s="115"/>
      <c r="AE296" s="115"/>
      <c r="AF296" s="14"/>
      <c r="AG296" s="115"/>
      <c r="AH296" s="115"/>
      <c r="AI296" s="115"/>
      <c r="AJ296" s="115"/>
      <c r="AK296" s="115"/>
      <c r="AL296" s="115"/>
      <c r="AM296" s="115"/>
      <c r="AN296" s="115"/>
      <c r="AO296" s="115"/>
      <c r="AP296" s="116"/>
      <c r="AQ296" s="116"/>
      <c r="AU296"/>
      <c r="AV296"/>
      <c r="AW296"/>
      <c r="AX296"/>
      <c r="AY296"/>
      <c r="AZ296"/>
      <c r="BA296"/>
      <c r="BB296"/>
      <c r="BC296"/>
      <c r="BD296"/>
    </row>
    <row r="297" spans="1:56" ht="12">
      <c r="A297" s="554">
        <f aca="true" t="shared" si="39" ref="A297:A305">IF(A296&lt;G$291,A296+1,"")</f>
        <v>2</v>
      </c>
      <c r="B297" s="555"/>
      <c r="C297" s="2" t="str">
        <f aca="true" t="shared" si="40" ref="C297:C305">IF(A297="","","p")</f>
        <v>p</v>
      </c>
      <c r="D297" s="1" t="str">
        <f aca="true" t="shared" si="41" ref="D297:D305">IF(A297="","","kNm")</f>
        <v>kNm</v>
      </c>
      <c r="E297" s="7">
        <f t="shared" si="37"/>
        <v>16.2</v>
      </c>
      <c r="F297" s="7">
        <f t="shared" si="37"/>
        <v>21</v>
      </c>
      <c r="G297" s="7">
        <f t="shared" si="37"/>
        <v>18.900000000000002</v>
      </c>
      <c r="H297" s="7">
        <f t="shared" si="37"/>
        <v>25.200000000000003</v>
      </c>
      <c r="I297" s="7">
        <f t="shared" si="37"/>
        <v>13.5</v>
      </c>
      <c r="J297" s="7">
        <f t="shared" si="37"/>
      </c>
      <c r="K297" s="7">
        <f t="shared" si="37"/>
      </c>
      <c r="L297" s="7">
        <f t="shared" si="37"/>
      </c>
      <c r="M297" s="7">
        <f t="shared" si="37"/>
      </c>
      <c r="N297" s="145" t="str">
        <f t="shared" si="38"/>
        <v>330216200033022100003302189000330225200033021350000000000000</v>
      </c>
      <c r="O297"/>
      <c r="AB297"/>
      <c r="AC297"/>
      <c r="AD297" s="15">
        <f>AD291+1</f>
        <v>2</v>
      </c>
      <c r="AE297" s="115"/>
      <c r="AF297" s="14">
        <f>INDEX(AF$235:AF$289,(AD297-1)*8+2,1)</f>
        <v>5.6000000000000005</v>
      </c>
      <c r="AG297" s="115"/>
      <c r="AH297" s="115"/>
      <c r="AI297" s="115"/>
      <c r="AJ297" s="115"/>
      <c r="AK297" s="115"/>
      <c r="AL297" s="115"/>
      <c r="AM297" s="115"/>
      <c r="AN297" s="15">
        <f>INDEX(AR$235:AR$289,(AD297-1)*8+2,1)</f>
        <v>-200.35825925925928</v>
      </c>
      <c r="AO297" s="115"/>
      <c r="AP297" s="116"/>
      <c r="AQ297" s="116"/>
      <c r="AU297"/>
      <c r="AV297"/>
      <c r="AW297"/>
      <c r="AX297"/>
      <c r="AY297"/>
      <c r="AZ297"/>
      <c r="BA297"/>
      <c r="BB297"/>
      <c r="BC297"/>
      <c r="BD297"/>
    </row>
    <row r="298" spans="1:56" ht="12">
      <c r="A298" s="554">
        <f t="shared" si="39"/>
        <v>3</v>
      </c>
      <c r="B298" s="555"/>
      <c r="C298" s="2" t="str">
        <f t="shared" si="40"/>
        <v>p</v>
      </c>
      <c r="D298" s="1" t="str">
        <f t="shared" si="41"/>
        <v>kNm</v>
      </c>
      <c r="E298" s="7">
        <f t="shared" si="37"/>
        <v>25.200000000000003</v>
      </c>
      <c r="F298" s="7">
        <f t="shared" si="37"/>
        <v>21</v>
      </c>
      <c r="G298" s="7">
        <f t="shared" si="37"/>
        <v>18.900000000000002</v>
      </c>
      <c r="H298" s="7">
        <f t="shared" si="37"/>
        <v>16.2</v>
      </c>
      <c r="I298" s="7">
        <f t="shared" si="37"/>
        <v>13.5</v>
      </c>
      <c r="J298" s="7">
        <f t="shared" si="37"/>
      </c>
      <c r="K298" s="7">
        <f t="shared" si="37"/>
      </c>
      <c r="L298" s="7">
        <f t="shared" si="37"/>
      </c>
      <c r="M298" s="7">
        <f t="shared" si="37"/>
      </c>
      <c r="N298" s="145" t="str">
        <f t="shared" si="38"/>
        <v>330225200033022100003302189000330216200033021350000000000000</v>
      </c>
      <c r="O298"/>
      <c r="AB298"/>
      <c r="AC298"/>
      <c r="AD298" s="115"/>
      <c r="AE298" s="115"/>
      <c r="AF298" s="14">
        <f>AF297</f>
        <v>5.6000000000000005</v>
      </c>
      <c r="AG298" s="115"/>
      <c r="AH298" s="115"/>
      <c r="AI298" s="115"/>
      <c r="AJ298" s="115"/>
      <c r="AK298" s="115"/>
      <c r="AL298" s="115"/>
      <c r="AM298" s="115"/>
      <c r="AN298" s="15">
        <v>0</v>
      </c>
      <c r="AO298" s="115"/>
      <c r="AP298" s="116"/>
      <c r="AQ298" s="116"/>
      <c r="AU298"/>
      <c r="AV298"/>
      <c r="AW298"/>
      <c r="AX298"/>
      <c r="AY298"/>
      <c r="AZ298"/>
      <c r="BA298"/>
      <c r="BB298"/>
      <c r="BC298"/>
      <c r="BD298"/>
    </row>
    <row r="299" spans="1:56" ht="12">
      <c r="A299" s="554">
        <f t="shared" si="39"/>
        <v>4</v>
      </c>
      <c r="B299" s="555"/>
      <c r="C299" s="2" t="str">
        <f t="shared" si="40"/>
        <v>p</v>
      </c>
      <c r="D299" s="1" t="str">
        <f t="shared" si="41"/>
        <v>kNm</v>
      </c>
      <c r="E299" s="7">
        <f t="shared" si="37"/>
        <v>16.2</v>
      </c>
      <c r="F299" s="47">
        <f t="shared" si="37"/>
        <v>21</v>
      </c>
      <c r="G299" s="7">
        <f t="shared" si="37"/>
        <v>26.400000000000002</v>
      </c>
      <c r="H299" s="7">
        <f t="shared" si="37"/>
        <v>16.2</v>
      </c>
      <c r="I299" s="7">
        <f t="shared" si="37"/>
        <v>13.5</v>
      </c>
      <c r="J299" s="7">
        <f t="shared" si="37"/>
      </c>
      <c r="K299" s="7">
        <f t="shared" si="37"/>
      </c>
      <c r="L299" s="7">
        <f t="shared" si="37"/>
      </c>
      <c r="M299" s="7">
        <f t="shared" si="37"/>
      </c>
      <c r="N299" s="145" t="str">
        <f t="shared" si="38"/>
        <v>330216200033022100003302264000330216200033021350000000000000</v>
      </c>
      <c r="O299"/>
      <c r="AB299"/>
      <c r="AC299"/>
      <c r="AD299" s="115"/>
      <c r="AE299" s="115"/>
      <c r="AF299" s="14"/>
      <c r="AG299" s="115"/>
      <c r="AH299" s="115"/>
      <c r="AI299" s="115"/>
      <c r="AJ299" s="115"/>
      <c r="AK299" s="115"/>
      <c r="AL299" s="115"/>
      <c r="AM299" s="115"/>
      <c r="AN299" s="15"/>
      <c r="AO299" s="115"/>
      <c r="AP299" s="116"/>
      <c r="AQ299" s="116"/>
      <c r="AU299"/>
      <c r="AV299"/>
      <c r="AW299"/>
      <c r="AX299"/>
      <c r="AY299"/>
      <c r="AZ299"/>
      <c r="BA299"/>
      <c r="BB299"/>
      <c r="BC299"/>
      <c r="BD299"/>
    </row>
    <row r="300" spans="1:56" ht="12">
      <c r="A300" s="554">
        <f t="shared" si="39"/>
        <v>5</v>
      </c>
      <c r="B300" s="555"/>
      <c r="C300" s="2" t="str">
        <f t="shared" si="40"/>
        <v>p</v>
      </c>
      <c r="D300" s="1" t="str">
        <f t="shared" si="41"/>
        <v>kNm</v>
      </c>
      <c r="E300" s="7">
        <f t="shared" si="37"/>
        <v>16.2</v>
      </c>
      <c r="F300" s="7">
        <f t="shared" si="37"/>
        <v>13.5</v>
      </c>
      <c r="G300" s="7">
        <f t="shared" si="37"/>
        <v>26.400000000000002</v>
      </c>
      <c r="H300" s="7">
        <f t="shared" si="37"/>
        <v>25.200000000000003</v>
      </c>
      <c r="I300" s="7">
        <f t="shared" si="37"/>
        <v>13.5</v>
      </c>
      <c r="J300" s="7">
        <f t="shared" si="37"/>
      </c>
      <c r="K300" s="7">
        <f t="shared" si="37"/>
      </c>
      <c r="L300" s="7">
        <f t="shared" si="37"/>
      </c>
      <c r="M300" s="7">
        <f t="shared" si="37"/>
      </c>
      <c r="N300" s="145" t="str">
        <f t="shared" si="38"/>
        <v>330216200033021350003302264000330225200033021350000000000000</v>
      </c>
      <c r="O300"/>
      <c r="AB300"/>
      <c r="AC300"/>
      <c r="AD300" s="115"/>
      <c r="AE300" s="115"/>
      <c r="AF300" s="14">
        <f>INDEX(AF$235:AF$289,(AD297-1)*8+6,1)</f>
        <v>10.600000000000001</v>
      </c>
      <c r="AG300" s="115"/>
      <c r="AH300" s="115"/>
      <c r="AI300" s="115"/>
      <c r="AJ300" s="115"/>
      <c r="AK300" s="115"/>
      <c r="AL300" s="115"/>
      <c r="AM300" s="115"/>
      <c r="AN300" s="15">
        <f>INDEX(AR$235:AR$289,(AD297-1)*8+6,1)</f>
        <v>-199.53974074074074</v>
      </c>
      <c r="AO300" s="115"/>
      <c r="AP300" s="116"/>
      <c r="AQ300" s="116"/>
      <c r="AR300"/>
      <c r="AT300"/>
      <c r="AU300"/>
      <c r="AV300"/>
      <c r="AW300"/>
      <c r="AX300"/>
      <c r="AY300"/>
      <c r="AZ300"/>
      <c r="BA300"/>
      <c r="BB300"/>
      <c r="BC300"/>
      <c r="BD300"/>
    </row>
    <row r="301" spans="1:56" ht="12">
      <c r="A301" s="554">
        <f t="shared" si="39"/>
        <v>6</v>
      </c>
      <c r="B301" s="555"/>
      <c r="C301" s="2" t="str">
        <f t="shared" si="40"/>
        <v>p</v>
      </c>
      <c r="D301" s="1" t="str">
        <f t="shared" si="41"/>
        <v>kNm</v>
      </c>
      <c r="E301" s="7">
        <f t="shared" si="37"/>
        <v>16.2</v>
      </c>
      <c r="F301" s="7">
        <f t="shared" si="37"/>
        <v>13.5</v>
      </c>
      <c r="G301" s="7">
        <f t="shared" si="37"/>
        <v>18.900000000000002</v>
      </c>
      <c r="H301" s="7">
        <f t="shared" si="37"/>
        <v>25.200000000000003</v>
      </c>
      <c r="I301" s="7">
        <f t="shared" si="37"/>
        <v>19.5</v>
      </c>
      <c r="J301" s="7">
        <f t="shared" si="37"/>
      </c>
      <c r="K301" s="7">
        <f t="shared" si="37"/>
      </c>
      <c r="L301" s="7">
        <f t="shared" si="37"/>
      </c>
      <c r="M301" s="7">
        <f t="shared" si="37"/>
      </c>
      <c r="N301" s="145" t="str">
        <f t="shared" si="38"/>
        <v>330216200033021350003302189000330225200033021950000000000000</v>
      </c>
      <c r="O301"/>
      <c r="AB301"/>
      <c r="AC301"/>
      <c r="AD301" s="115"/>
      <c r="AE301" s="115"/>
      <c r="AF301" s="14">
        <f>AF300</f>
        <v>10.600000000000001</v>
      </c>
      <c r="AG301" s="115"/>
      <c r="AH301" s="115"/>
      <c r="AI301" s="115"/>
      <c r="AJ301" s="115"/>
      <c r="AK301" s="115"/>
      <c r="AL301" s="115"/>
      <c r="AM301" s="115"/>
      <c r="AN301" s="15">
        <v>0</v>
      </c>
      <c r="AO301" s="115"/>
      <c r="AP301" s="116"/>
      <c r="AQ301" s="116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</row>
    <row r="302" spans="1:56" ht="12">
      <c r="A302" s="554">
        <f t="shared" si="39"/>
      </c>
      <c r="B302" s="555"/>
      <c r="C302" s="2">
        <f t="shared" si="40"/>
      </c>
      <c r="D302" s="1">
        <f t="shared" si="41"/>
      </c>
      <c r="E302" s="7">
        <f t="shared" si="37"/>
      </c>
      <c r="F302" s="7">
        <f t="shared" si="37"/>
      </c>
      <c r="G302" s="7">
        <f t="shared" si="37"/>
      </c>
      <c r="H302" s="7">
        <f t="shared" si="37"/>
      </c>
      <c r="I302" s="7">
        <f t="shared" si="37"/>
      </c>
      <c r="J302" s="7">
        <f t="shared" si="37"/>
      </c>
      <c r="K302" s="7">
        <f t="shared" si="37"/>
      </c>
      <c r="L302" s="7">
        <f t="shared" si="37"/>
      </c>
      <c r="M302" s="7">
        <f t="shared" si="37"/>
      </c>
      <c r="N302" s="145">
        <f t="shared" si="38"/>
      </c>
      <c r="O302"/>
      <c r="AB302"/>
      <c r="AC302"/>
      <c r="AD302" s="115"/>
      <c r="AE302" s="115"/>
      <c r="AF302" s="14"/>
      <c r="AG302" s="115"/>
      <c r="AH302" s="115"/>
      <c r="AI302" s="115"/>
      <c r="AJ302" s="115"/>
      <c r="AK302" s="115"/>
      <c r="AL302" s="115"/>
      <c r="AM302" s="115"/>
      <c r="AN302" s="115"/>
      <c r="AO302" s="115"/>
      <c r="AP302" s="116"/>
      <c r="AQ302" s="116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</row>
    <row r="303" spans="1:56" ht="12">
      <c r="A303" s="554">
        <f t="shared" si="39"/>
      </c>
      <c r="B303" s="555"/>
      <c r="C303" s="2">
        <f t="shared" si="40"/>
      </c>
      <c r="D303" s="1">
        <f t="shared" si="41"/>
      </c>
      <c r="E303" s="7">
        <f t="shared" si="37"/>
      </c>
      <c r="F303" s="7">
        <f t="shared" si="37"/>
      </c>
      <c r="G303" s="7">
        <f t="shared" si="37"/>
      </c>
      <c r="H303" s="7">
        <f t="shared" si="37"/>
      </c>
      <c r="I303" s="7">
        <f t="shared" si="37"/>
      </c>
      <c r="J303" s="7">
        <f t="shared" si="37"/>
      </c>
      <c r="K303" s="7">
        <f t="shared" si="37"/>
      </c>
      <c r="L303" s="7">
        <f t="shared" si="37"/>
      </c>
      <c r="M303" s="7">
        <f t="shared" si="37"/>
      </c>
      <c r="N303" s="145">
        <f t="shared" si="38"/>
      </c>
      <c r="O303"/>
      <c r="AB303"/>
      <c r="AC303"/>
      <c r="AD303" s="15">
        <f>AD297+1</f>
        <v>3</v>
      </c>
      <c r="AE303" s="115"/>
      <c r="AF303" s="14">
        <f>INDEX(AF$235:AF$289,(AD303-1)*8+2,1)</f>
        <v>11</v>
      </c>
      <c r="AG303" s="115"/>
      <c r="AH303" s="115"/>
      <c r="AI303" s="115"/>
      <c r="AJ303" s="115"/>
      <c r="AK303" s="115"/>
      <c r="AL303" s="115"/>
      <c r="AM303" s="115"/>
      <c r="AN303" s="15">
        <f>INDEX(AR$235:AR$289,(AD303-1)*8+2,1)</f>
        <v>-200.11178124999998</v>
      </c>
      <c r="AO303" s="115"/>
      <c r="AP303" s="116"/>
      <c r="AQ303" s="116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</row>
    <row r="304" spans="1:56" ht="12">
      <c r="A304" s="554">
        <f t="shared" si="39"/>
      </c>
      <c r="B304" s="555"/>
      <c r="C304" s="2">
        <f t="shared" si="40"/>
      </c>
      <c r="D304" s="1">
        <f t="shared" si="41"/>
      </c>
      <c r="E304" s="7">
        <f t="shared" si="37"/>
      </c>
      <c r="F304" s="7">
        <f t="shared" si="37"/>
      </c>
      <c r="G304" s="7">
        <f t="shared" si="37"/>
      </c>
      <c r="H304" s="7">
        <f t="shared" si="37"/>
      </c>
      <c r="I304" s="7">
        <f t="shared" si="37"/>
      </c>
      <c r="J304" s="7">
        <f t="shared" si="37"/>
      </c>
      <c r="K304" s="7">
        <f t="shared" si="37"/>
      </c>
      <c r="L304" s="7">
        <f t="shared" si="37"/>
      </c>
      <c r="M304" s="7">
        <f t="shared" si="37"/>
      </c>
      <c r="N304" s="145">
        <f t="shared" si="38"/>
      </c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 s="115"/>
      <c r="AE304" s="115"/>
      <c r="AF304" s="14">
        <f>AF303</f>
        <v>11</v>
      </c>
      <c r="AG304" s="115"/>
      <c r="AH304" s="115"/>
      <c r="AI304" s="115"/>
      <c r="AJ304" s="115"/>
      <c r="AK304" s="115"/>
      <c r="AL304" s="115"/>
      <c r="AM304" s="115"/>
      <c r="AN304" s="15">
        <v>0</v>
      </c>
      <c r="AO304" s="115"/>
      <c r="AP304" s="116"/>
      <c r="AQ304" s="116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</row>
    <row r="305" spans="1:56" ht="12">
      <c r="A305" s="554">
        <f t="shared" si="39"/>
      </c>
      <c r="B305" s="555"/>
      <c r="C305" s="2">
        <f t="shared" si="40"/>
      </c>
      <c r="D305" s="1">
        <f t="shared" si="41"/>
      </c>
      <c r="E305" s="10">
        <f t="shared" si="37"/>
      </c>
      <c r="F305" s="10">
        <f t="shared" si="37"/>
      </c>
      <c r="G305" s="10">
        <f t="shared" si="37"/>
      </c>
      <c r="H305" s="10">
        <f t="shared" si="37"/>
      </c>
      <c r="I305" s="10">
        <f t="shared" si="37"/>
      </c>
      <c r="J305" s="10">
        <f t="shared" si="37"/>
      </c>
      <c r="K305" s="10">
        <f t="shared" si="37"/>
      </c>
      <c r="L305" s="10">
        <f t="shared" si="37"/>
      </c>
      <c r="M305" s="10">
        <f t="shared" si="37"/>
      </c>
      <c r="N305" s="145">
        <f t="shared" si="38"/>
      </c>
      <c r="O305"/>
      <c r="AB305"/>
      <c r="AC305"/>
      <c r="AD305" s="115"/>
      <c r="AE305" s="115"/>
      <c r="AF305" s="14"/>
      <c r="AG305" s="115"/>
      <c r="AH305" s="115"/>
      <c r="AI305" s="115"/>
      <c r="AJ305" s="115"/>
      <c r="AK305" s="115"/>
      <c r="AL305" s="115"/>
      <c r="AM305" s="115"/>
      <c r="AN305" s="15"/>
      <c r="AO305" s="115"/>
      <c r="AP305" s="116"/>
      <c r="AQ305" s="116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</row>
    <row r="306" spans="1:56" ht="1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AB306"/>
      <c r="AC306"/>
      <c r="AD306" s="115"/>
      <c r="AE306" s="115"/>
      <c r="AF306" s="14">
        <f>INDEX(AF$235:AF$289,(AD303-1)*8+6,1)</f>
        <v>17</v>
      </c>
      <c r="AG306" s="115"/>
      <c r="AH306" s="115"/>
      <c r="AI306" s="115"/>
      <c r="AJ306" s="115"/>
      <c r="AK306" s="115"/>
      <c r="AL306" s="115"/>
      <c r="AM306" s="115"/>
      <c r="AN306" s="15">
        <f>INDEX(AR$235:AR$289,(AD303-1)*8+6,1)</f>
        <v>25.944781250000034</v>
      </c>
      <c r="AO306" s="115"/>
      <c r="AP306" s="116"/>
      <c r="AQ306" s="11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</row>
    <row r="307" spans="1:56" ht="12">
      <c r="A307" s="146"/>
      <c r="B307" s="146"/>
      <c r="C307" s="146"/>
      <c r="D307" s="146"/>
      <c r="E307" s="146"/>
      <c r="F307" s="147"/>
      <c r="G307" s="146"/>
      <c r="H307" s="146"/>
      <c r="I307" s="146"/>
      <c r="J307" s="146"/>
      <c r="K307" s="146"/>
      <c r="L307" s="146"/>
      <c r="M307" s="146"/>
      <c r="N307" s="146"/>
      <c r="O307" s="146"/>
      <c r="AB307"/>
      <c r="AC307"/>
      <c r="AD307" s="115"/>
      <c r="AE307" s="115"/>
      <c r="AF307" s="14">
        <f>AF306</f>
        <v>17</v>
      </c>
      <c r="AG307" s="115"/>
      <c r="AH307" s="115"/>
      <c r="AI307" s="115"/>
      <c r="AJ307" s="115"/>
      <c r="AK307" s="115"/>
      <c r="AL307" s="115"/>
      <c r="AM307" s="115"/>
      <c r="AN307" s="15">
        <v>0</v>
      </c>
      <c r="AO307" s="115"/>
      <c r="AP307" s="116"/>
      <c r="AQ307" s="116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</row>
    <row r="308" spans="1:56" ht="12">
      <c r="A308" s="88" t="s">
        <v>709</v>
      </c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 s="115"/>
      <c r="AE308" s="115"/>
      <c r="AF308" s="14"/>
      <c r="AG308" s="115"/>
      <c r="AH308" s="115"/>
      <c r="AI308" s="115"/>
      <c r="AJ308" s="115"/>
      <c r="AK308" s="115"/>
      <c r="AL308" s="115"/>
      <c r="AM308" s="115"/>
      <c r="AN308" s="115"/>
      <c r="AO308" s="115"/>
      <c r="AP308" s="116"/>
      <c r="AQ308" s="116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</row>
    <row r="309" spans="1:56" ht="12.75" thickBot="1">
      <c r="A309" t="s">
        <v>358</v>
      </c>
      <c r="B309"/>
      <c r="C309"/>
      <c r="D309"/>
      <c r="E309"/>
      <c r="G309"/>
      <c r="H309"/>
      <c r="I309"/>
      <c r="M309" s="155" t="s">
        <v>246</v>
      </c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 s="15">
        <f>AD303+1</f>
        <v>4</v>
      </c>
      <c r="AE309" s="115"/>
      <c r="AF309" s="14">
        <f>INDEX(AF$235:AF$289,(AD309-1)*8+2,1)</f>
        <v>11</v>
      </c>
      <c r="AG309" s="115"/>
      <c r="AH309" s="115"/>
      <c r="AI309" s="115"/>
      <c r="AJ309" s="115"/>
      <c r="AK309" s="115"/>
      <c r="AL309" s="115"/>
      <c r="AM309" s="115"/>
      <c r="AN309" s="15">
        <f>INDEX(AR$235:AR$289,(AD309-1)*8+2,1)</f>
        <v>-200.11178124999998</v>
      </c>
      <c r="AO309" s="115"/>
      <c r="AP309" s="116"/>
      <c r="AQ309" s="116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</row>
    <row r="310" spans="2:56" ht="15" thickBot="1" thickTop="1">
      <c r="B310" s="42" t="s">
        <v>370</v>
      </c>
      <c r="C310" s="493">
        <v>1</v>
      </c>
      <c r="D310" s="494">
        <v>2</v>
      </c>
      <c r="E310" s="494">
        <v>3</v>
      </c>
      <c r="F310" s="495">
        <v>3</v>
      </c>
      <c r="H310" s="1"/>
      <c r="I310"/>
      <c r="L310" s="2" t="s">
        <v>14</v>
      </c>
      <c r="M310" s="32">
        <v>25</v>
      </c>
      <c r="N310" s="5" t="s">
        <v>10</v>
      </c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 s="115"/>
      <c r="AE310" s="115"/>
      <c r="AF310" s="14">
        <f>AF309</f>
        <v>11</v>
      </c>
      <c r="AG310" s="115"/>
      <c r="AH310" s="115"/>
      <c r="AI310" s="115"/>
      <c r="AJ310" s="115"/>
      <c r="AK310" s="115"/>
      <c r="AL310" s="115"/>
      <c r="AM310" s="115"/>
      <c r="AN310" s="15">
        <v>0</v>
      </c>
      <c r="AO310" s="115"/>
      <c r="AP310" s="116"/>
      <c r="AQ310" s="116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</row>
    <row r="311" spans="3:56" ht="15" thickBot="1" thickTop="1">
      <c r="C311" s="281" t="str">
        <f>VLOOKUP(C310,$AO28:$AP30,2)</f>
        <v>rec.simp.</v>
      </c>
      <c r="D311" s="281" t="str">
        <f>VLOOKUP(D310,$AO28:$AP30,2)</f>
        <v>P-R</v>
      </c>
      <c r="E311" s="281" t="str">
        <f>VLOOKUP(E310,$AO28:$AP30,2)</f>
        <v>Sargin</v>
      </c>
      <c r="F311" s="281" t="str">
        <f>VLOOKUP(F310,$AO28:$AP30,2)</f>
        <v>Sargin</v>
      </c>
      <c r="H311" s="1"/>
      <c r="I311"/>
      <c r="L311" s="3" t="s">
        <v>230</v>
      </c>
      <c r="M311" s="33">
        <v>1.5</v>
      </c>
      <c r="N311" s="5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 s="115"/>
      <c r="AE311" s="115"/>
      <c r="AF311" s="14"/>
      <c r="AG311" s="115"/>
      <c r="AH311" s="115"/>
      <c r="AI311" s="115"/>
      <c r="AJ311" s="115"/>
      <c r="AK311" s="115"/>
      <c r="AL311" s="115"/>
      <c r="AM311" s="115"/>
      <c r="AN311" s="15"/>
      <c r="AO311" s="115"/>
      <c r="AP311" s="116"/>
      <c r="AQ311" s="116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</row>
    <row r="312" spans="2:56" ht="14.25" thickTop="1">
      <c r="B312" s="2" t="s">
        <v>0</v>
      </c>
      <c r="C312" s="493">
        <v>1</v>
      </c>
      <c r="D312" s="494">
        <f>C312</f>
        <v>1</v>
      </c>
      <c r="E312" s="494">
        <f>D312</f>
        <v>1</v>
      </c>
      <c r="F312" s="495">
        <v>0.8</v>
      </c>
      <c r="G312" s="5" t="s">
        <v>11</v>
      </c>
      <c r="H312" s="1"/>
      <c r="L312" s="2" t="s">
        <v>1</v>
      </c>
      <c r="M312" s="274">
        <f>M310/M311</f>
        <v>16.666666666666668</v>
      </c>
      <c r="N312" s="5" t="s">
        <v>10</v>
      </c>
      <c r="AA312"/>
      <c r="AB312"/>
      <c r="AC312"/>
      <c r="AD312" s="115"/>
      <c r="AE312" s="115"/>
      <c r="AF312" s="14">
        <f>INDEX(AF$235:AF$289,(AD309-1)*8+6,1)</f>
        <v>17</v>
      </c>
      <c r="AG312" s="115"/>
      <c r="AH312" s="115"/>
      <c r="AI312" s="115"/>
      <c r="AJ312" s="115"/>
      <c r="AK312" s="115"/>
      <c r="AL312" s="115"/>
      <c r="AM312" s="115"/>
      <c r="AN312" s="15">
        <f>INDEX(AR$235:AR$289,(AD309-1)*8+6,1)</f>
        <v>25.944781250000034</v>
      </c>
      <c r="AO312" s="115"/>
      <c r="AP312" s="116"/>
      <c r="AQ312" s="116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</row>
    <row r="313" spans="2:56" ht="13.5">
      <c r="B313" s="2" t="s">
        <v>25</v>
      </c>
      <c r="C313" s="496">
        <v>0.45</v>
      </c>
      <c r="D313" s="497">
        <f>C313</f>
        <v>0.45</v>
      </c>
      <c r="E313" s="497">
        <f>D313</f>
        <v>0.45</v>
      </c>
      <c r="F313" s="498">
        <v>0.7</v>
      </c>
      <c r="G313" s="5" t="s">
        <v>11</v>
      </c>
      <c r="H313" s="1"/>
      <c r="L313" s="3" t="s">
        <v>359</v>
      </c>
      <c r="M313" s="7">
        <f>VLOOKUP(M310,tabfck,5)</f>
        <v>2.1</v>
      </c>
      <c r="N313" s="4" t="s">
        <v>360</v>
      </c>
      <c r="AA313"/>
      <c r="AB313"/>
      <c r="AC313"/>
      <c r="AD313" s="115"/>
      <c r="AE313" s="115"/>
      <c r="AF313" s="14">
        <f>AF312</f>
        <v>17</v>
      </c>
      <c r="AG313" s="115"/>
      <c r="AH313" s="115"/>
      <c r="AI313" s="115"/>
      <c r="AJ313" s="115"/>
      <c r="AK313" s="115"/>
      <c r="AL313" s="115"/>
      <c r="AM313" s="115"/>
      <c r="AN313" s="15">
        <v>0</v>
      </c>
      <c r="AO313" s="115"/>
      <c r="AP313" s="116"/>
      <c r="AQ313" s="116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</row>
    <row r="314" spans="2:56" ht="13.5">
      <c r="B314" s="2" t="s">
        <v>40</v>
      </c>
      <c r="C314" s="496">
        <v>0.3</v>
      </c>
      <c r="D314" s="497">
        <v>0</v>
      </c>
      <c r="E314" s="497">
        <v>0</v>
      </c>
      <c r="F314" s="498">
        <v>0.25</v>
      </c>
      <c r="G314" s="5" t="s">
        <v>11</v>
      </c>
      <c r="H314" s="1"/>
      <c r="L314" s="3" t="s">
        <v>361</v>
      </c>
      <c r="M314" s="7">
        <f>VLOOKUP(M310,tabfck,4)</f>
        <v>3.5</v>
      </c>
      <c r="N314" s="102" t="s">
        <v>360</v>
      </c>
      <c r="U314" s="29"/>
      <c r="V314" s="29" t="s">
        <v>410</v>
      </c>
      <c r="AA314"/>
      <c r="AB314"/>
      <c r="AC314"/>
      <c r="AD314" s="115"/>
      <c r="AE314" s="115"/>
      <c r="AF314" s="14"/>
      <c r="AG314" s="115"/>
      <c r="AH314" s="115"/>
      <c r="AI314" s="115"/>
      <c r="AJ314" s="115"/>
      <c r="AK314" s="115"/>
      <c r="AL314" s="115"/>
      <c r="AM314" s="115"/>
      <c r="AN314" s="115"/>
      <c r="AO314" s="115"/>
      <c r="AP314" s="116"/>
      <c r="AQ314" s="116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</row>
    <row r="315" spans="2:56" ht="13.5">
      <c r="B315" s="2" t="s">
        <v>41</v>
      </c>
      <c r="C315" s="496">
        <v>0.1</v>
      </c>
      <c r="D315" s="497">
        <v>0</v>
      </c>
      <c r="E315" s="497">
        <v>0</v>
      </c>
      <c r="F315" s="498">
        <v>0.12</v>
      </c>
      <c r="G315" s="5" t="s">
        <v>11</v>
      </c>
      <c r="H315" s="1"/>
      <c r="L315" s="2" t="s">
        <v>362</v>
      </c>
      <c r="M315" s="9">
        <f>1.05*VLOOKUP(M310,tabfck,3)/1.2*M313/M310*M311</f>
        <v>3.4177500000000007</v>
      </c>
      <c r="N315" t="s">
        <v>363</v>
      </c>
      <c r="Q315" s="2"/>
      <c r="V315" s="194"/>
      <c r="W315" s="354" t="s">
        <v>375</v>
      </c>
      <c r="X315"/>
      <c r="AA315"/>
      <c r="AB315"/>
      <c r="AC315"/>
      <c r="AD315" s="15">
        <f>AD309+1</f>
        <v>5</v>
      </c>
      <c r="AE315" s="115"/>
      <c r="AF315" s="14">
        <f>INDEX(AF$235:AF$289,(AD315-1)*8+2,1)</f>
        <v>11</v>
      </c>
      <c r="AG315" s="115"/>
      <c r="AH315" s="115"/>
      <c r="AI315" s="115"/>
      <c r="AJ315" s="115"/>
      <c r="AK315" s="115"/>
      <c r="AL315" s="115"/>
      <c r="AM315" s="115"/>
      <c r="AN315" s="15">
        <f>INDEX(AR$235:AR$289,(AD315-1)*8+2,1)</f>
        <v>-200.11178124999998</v>
      </c>
      <c r="AO315" s="115"/>
      <c r="AP315" s="116"/>
      <c r="AQ315" s="116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</row>
    <row r="316" spans="2:56" ht="13.5">
      <c r="B316" s="2" t="s">
        <v>180</v>
      </c>
      <c r="C316" s="496">
        <v>0.405</v>
      </c>
      <c r="D316" s="497">
        <f>C316</f>
        <v>0.405</v>
      </c>
      <c r="E316" s="497">
        <f>D316</f>
        <v>0.405</v>
      </c>
      <c r="F316" s="498">
        <v>0.64</v>
      </c>
      <c r="G316" s="5" t="s">
        <v>11</v>
      </c>
      <c r="H316"/>
      <c r="I316"/>
      <c r="L316" s="3" t="s">
        <v>19</v>
      </c>
      <c r="M316" s="7">
        <f>VLOOKUP(M310,tabfck,7)</f>
        <v>2</v>
      </c>
      <c r="N316" s="102" t="s">
        <v>364</v>
      </c>
      <c r="U316"/>
      <c r="V316" s="355" t="s">
        <v>411</v>
      </c>
      <c r="W316" s="356"/>
      <c r="X316"/>
      <c r="AA316"/>
      <c r="AB316"/>
      <c r="AC316"/>
      <c r="AD316" s="115"/>
      <c r="AE316" s="115"/>
      <c r="AF316" s="14">
        <f>AF315</f>
        <v>11</v>
      </c>
      <c r="AG316" s="115"/>
      <c r="AH316" s="115"/>
      <c r="AI316" s="115"/>
      <c r="AJ316" s="115"/>
      <c r="AK316" s="115"/>
      <c r="AL316" s="115"/>
      <c r="AM316" s="115"/>
      <c r="AN316" s="15">
        <v>0</v>
      </c>
      <c r="AO316" s="115"/>
      <c r="AP316" s="116"/>
      <c r="AQ316" s="1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</row>
    <row r="317" spans="2:56" ht="14.25" thickBot="1">
      <c r="B317" s="2" t="s">
        <v>76</v>
      </c>
      <c r="C317" s="527">
        <v>35.5</v>
      </c>
      <c r="D317" s="499">
        <f>C317</f>
        <v>35.5</v>
      </c>
      <c r="E317" s="499">
        <f>D317</f>
        <v>35.5</v>
      </c>
      <c r="F317" s="500">
        <f>E317</f>
        <v>35.5</v>
      </c>
      <c r="G317" s="5" t="s">
        <v>12</v>
      </c>
      <c r="H317"/>
      <c r="I317"/>
      <c r="L317" s="3" t="s">
        <v>20</v>
      </c>
      <c r="M317" s="7">
        <f>VLOOKUP(M310,tabfck,6)</f>
        <v>3.5</v>
      </c>
      <c r="N317" s="102" t="s">
        <v>364</v>
      </c>
      <c r="U317"/>
      <c r="V317" s="194" t="s">
        <v>506</v>
      </c>
      <c r="W317" s="354" t="s">
        <v>376</v>
      </c>
      <c r="X317"/>
      <c r="AA317"/>
      <c r="AB317"/>
      <c r="AC317"/>
      <c r="AD317" s="115"/>
      <c r="AE317" s="115"/>
      <c r="AF317" s="14"/>
      <c r="AG317" s="115"/>
      <c r="AH317" s="115"/>
      <c r="AI317" s="115"/>
      <c r="AJ317" s="115"/>
      <c r="AK317" s="115"/>
      <c r="AL317" s="115"/>
      <c r="AM317" s="115"/>
      <c r="AN317" s="15"/>
      <c r="AO317" s="115"/>
      <c r="AP317" s="116"/>
      <c r="AQ317" s="116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</row>
    <row r="318" spans="2:56" ht="14.25" thickTop="1">
      <c r="B318" s="282" t="s">
        <v>374</v>
      </c>
      <c r="C318" s="283" t="str">
        <f>facd(C317,C312,C313,C314,C315,C316,$M312,$M313,$M314,$M315,$M316,$M317,$M318,$M324,$M326,$M325,C310)</f>
        <v>3103151118310124853733024500003303465928330118936531011337843102113338000000000031022138710000000000</v>
      </c>
      <c r="D318" s="283" t="str">
        <f>facd(D317,D312,D313,D314,D315,D316,$M312,$M313,$M314,$M315,$M316,$M317,$M318,$M324,$M326,$M325,D310)</f>
        <v>3102923936310124927833024500003303465928330118992933011235603102113002000000000031022132360000000000</v>
      </c>
      <c r="E318" s="283" t="str">
        <f>facd(E317,E312,E313,E314,E315,E316,$M312,$M313,$M314,$M315,$M316,$M317,$M318,$M324,$M326,$M325,E310)</f>
        <v>310310340531012491353302450000330346592833011898213301110080310211306600000000003102213358310118223931012676900000000000000000000000000000000000000000</v>
      </c>
      <c r="F318" s="283" t="str">
        <f>facd(F317,F312,F313,F314,F315,F316,$M312,$M313,$M314,$M315,$M316,$M317,$M318,$M324,$M326,$M325,F310)</f>
        <v>310299506831011571413302450000330346592833011197283101139298310217925900000000003102427632310124019631012768730000000000000000000000000000000000000000</v>
      </c>
      <c r="G318" s="284" t="s">
        <v>375</v>
      </c>
      <c r="H318"/>
      <c r="I318"/>
      <c r="L318" s="2" t="s">
        <v>31</v>
      </c>
      <c r="M318" s="10">
        <f>VLOOKUP(M310,tabfck,8)</f>
        <v>2</v>
      </c>
      <c r="N318" s="102" t="s">
        <v>365</v>
      </c>
      <c r="U318"/>
      <c r="V318" s="194" t="s">
        <v>507</v>
      </c>
      <c r="W318" s="354" t="s">
        <v>377</v>
      </c>
      <c r="X318"/>
      <c r="AA318"/>
      <c r="AB318"/>
      <c r="AC318"/>
      <c r="AD318" s="115"/>
      <c r="AE318" s="115"/>
      <c r="AF318" s="14">
        <f>INDEX(AF$235:AF$289,(AD315-1)*8+6,1)</f>
        <v>17</v>
      </c>
      <c r="AG318" s="115"/>
      <c r="AH318" s="115"/>
      <c r="AI318" s="115"/>
      <c r="AJ318" s="115"/>
      <c r="AK318" s="115"/>
      <c r="AL318" s="115"/>
      <c r="AM318" s="115"/>
      <c r="AN318" s="15">
        <f>INDEX(AR$235:AR$289,(AD315-1)*8+6,1)</f>
        <v>25.944781250000034</v>
      </c>
      <c r="AO318" s="115"/>
      <c r="AP318" s="116"/>
      <c r="AQ318" s="116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</row>
    <row r="319" spans="1:56" ht="13.5">
      <c r="A319" s="358">
        <v>1</v>
      </c>
      <c r="B319" s="2" t="s">
        <v>183</v>
      </c>
      <c r="C319" s="41">
        <f aca="true" t="shared" si="42" ref="C319:C326">macf(C$318,$A319)</f>
        <v>0.006617345385725063</v>
      </c>
      <c r="D319" s="41">
        <f aca="true" t="shared" si="43" ref="D319:D326">macf(D$318,$A319)</f>
        <v>0.010823260485574757</v>
      </c>
      <c r="E319" s="41">
        <f aca="true" t="shared" si="44" ref="E319:E326">macf(E$318,$A319)</f>
        <v>0.009670712247957063</v>
      </c>
      <c r="F319" s="41">
        <f>IF(F318&lt;0,"",macf(F$318,$A319))</f>
        <v>0.010049564451876656</v>
      </c>
      <c r="G319" s="272" t="s">
        <v>11</v>
      </c>
      <c r="I319"/>
      <c r="U319"/>
      <c r="V319" s="194" t="s">
        <v>508</v>
      </c>
      <c r="W319" s="356" t="s">
        <v>378</v>
      </c>
      <c r="X319"/>
      <c r="AA319"/>
      <c r="AB319"/>
      <c r="AC319"/>
      <c r="AD319" s="115"/>
      <c r="AE319" s="115"/>
      <c r="AF319" s="14">
        <f>AF318</f>
        <v>17</v>
      </c>
      <c r="AG319" s="115"/>
      <c r="AH319" s="115"/>
      <c r="AI319" s="115"/>
      <c r="AJ319" s="115"/>
      <c r="AK319" s="115"/>
      <c r="AL319" s="115"/>
      <c r="AM319" s="115"/>
      <c r="AN319" s="15">
        <v>0</v>
      </c>
      <c r="AO319" s="115"/>
      <c r="AP319" s="116"/>
      <c r="AQ319" s="116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</row>
    <row r="320" spans="1:56" ht="14.25" thickBot="1">
      <c r="A320" s="358">
        <v>2</v>
      </c>
      <c r="B320" s="269" t="s">
        <v>21</v>
      </c>
      <c r="C320" s="41">
        <f t="shared" si="42"/>
        <v>0.40235457899628624</v>
      </c>
      <c r="D320" s="41">
        <f t="shared" si="43"/>
        <v>0.40115854588050287</v>
      </c>
      <c r="E320" s="41">
        <f t="shared" si="44"/>
        <v>0.4013888052662211</v>
      </c>
      <c r="F320" s="41">
        <f>IF(F318&lt;0,"",macf(F$318,$A320))</f>
        <v>0.6363711571136749</v>
      </c>
      <c r="G320" s="272" t="s">
        <v>11</v>
      </c>
      <c r="I320"/>
      <c r="M320" s="155" t="s">
        <v>247</v>
      </c>
      <c r="U320"/>
      <c r="V320" s="357" t="s">
        <v>379</v>
      </c>
      <c r="W320" s="354" t="s">
        <v>380</v>
      </c>
      <c r="X320"/>
      <c r="AA320"/>
      <c r="AB320"/>
      <c r="AC320"/>
      <c r="AD320" s="115"/>
      <c r="AE320" s="115"/>
      <c r="AF320" s="14"/>
      <c r="AG320" s="115"/>
      <c r="AH320" s="115"/>
      <c r="AI320" s="115"/>
      <c r="AJ320" s="115"/>
      <c r="AK320" s="115"/>
      <c r="AL320" s="115"/>
      <c r="AM320" s="115"/>
      <c r="AN320" s="115"/>
      <c r="AO320" s="115"/>
      <c r="AP320" s="116"/>
      <c r="AQ320" s="116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</row>
    <row r="321" spans="1:56" ht="14.25" thickTop="1">
      <c r="A321" s="358">
        <v>3</v>
      </c>
      <c r="B321" s="270" t="s">
        <v>5</v>
      </c>
      <c r="C321" s="8">
        <f t="shared" si="42"/>
        <v>45</v>
      </c>
      <c r="D321" s="8">
        <f t="shared" si="43"/>
        <v>45</v>
      </c>
      <c r="E321" s="8">
        <f t="shared" si="44"/>
        <v>45</v>
      </c>
      <c r="F321" s="8">
        <f>IF(F318&lt;0,"",macf(F$318,$A321))</f>
        <v>45</v>
      </c>
      <c r="G321" s="273" t="s">
        <v>9</v>
      </c>
      <c r="I321"/>
      <c r="L321" s="2" t="s">
        <v>357</v>
      </c>
      <c r="M321" s="483" t="s">
        <v>43</v>
      </c>
      <c r="U321"/>
      <c r="V321" s="357" t="s">
        <v>381</v>
      </c>
      <c r="W321" s="356" t="s">
        <v>382</v>
      </c>
      <c r="X321"/>
      <c r="AA321"/>
      <c r="AB321"/>
      <c r="AC321"/>
      <c r="AD321" s="15">
        <f>AD315+1</f>
        <v>6</v>
      </c>
      <c r="AE321" s="115"/>
      <c r="AF321" s="14">
        <f>INDEX(AF$235:AF$289,(AD321-1)*8+2,1)</f>
        <v>11</v>
      </c>
      <c r="AG321" s="115"/>
      <c r="AH321" s="115"/>
      <c r="AI321" s="115"/>
      <c r="AJ321" s="115"/>
      <c r="AK321" s="115"/>
      <c r="AL321" s="115"/>
      <c r="AM321" s="115"/>
      <c r="AN321" s="15">
        <f>INDEX(AR$235:AR$289,(AD321-1)*8+2,1)</f>
        <v>-200.11178124999998</v>
      </c>
      <c r="AO321" s="115"/>
      <c r="AP321" s="116"/>
      <c r="AQ321" s="116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</row>
    <row r="322" spans="1:56" ht="13.5">
      <c r="A322" s="358">
        <v>4</v>
      </c>
      <c r="B322" s="270" t="s">
        <v>23</v>
      </c>
      <c r="C322" s="271">
        <f t="shared" si="42"/>
        <v>465.928</v>
      </c>
      <c r="D322" s="271">
        <f t="shared" si="43"/>
        <v>465.928</v>
      </c>
      <c r="E322" s="271">
        <f t="shared" si="44"/>
        <v>465.928</v>
      </c>
      <c r="F322" s="271">
        <f>IF(F318&lt;0,"",macf(F$318,$A322))</f>
        <v>465.928</v>
      </c>
      <c r="G322" s="272" t="s">
        <v>10</v>
      </c>
      <c r="I322"/>
      <c r="L322" s="2" t="s">
        <v>228</v>
      </c>
      <c r="M322" s="484">
        <v>500</v>
      </c>
      <c r="N322" s="5" t="s">
        <v>10</v>
      </c>
      <c r="U322"/>
      <c r="V322" s="194" t="s">
        <v>383</v>
      </c>
      <c r="W322" s="356" t="s">
        <v>384</v>
      </c>
      <c r="X322"/>
      <c r="AA322"/>
      <c r="AB322"/>
      <c r="AC322"/>
      <c r="AD322" s="115"/>
      <c r="AE322" s="115"/>
      <c r="AF322" s="14">
        <f>AF321</f>
        <v>11</v>
      </c>
      <c r="AG322" s="115"/>
      <c r="AH322" s="115"/>
      <c r="AI322" s="115"/>
      <c r="AJ322" s="115"/>
      <c r="AK322" s="115"/>
      <c r="AL322" s="115"/>
      <c r="AM322" s="115"/>
      <c r="AN322" s="15">
        <v>0</v>
      </c>
      <c r="AO322" s="115"/>
      <c r="AP322" s="116"/>
      <c r="AQ322" s="116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</row>
    <row r="323" spans="1:56" ht="14.25" thickBot="1">
      <c r="A323" s="358">
        <v>5</v>
      </c>
      <c r="B323" s="269" t="s">
        <v>236</v>
      </c>
      <c r="C323" s="8">
        <f t="shared" si="42"/>
        <v>1.89365</v>
      </c>
      <c r="D323" s="8">
        <f t="shared" si="43"/>
        <v>1.8992900000000001</v>
      </c>
      <c r="E323" s="8">
        <f t="shared" si="44"/>
        <v>1.8982100000000002</v>
      </c>
      <c r="F323" s="8">
        <f>IF(F318&lt;0,"",macf(F$318,$A323))</f>
        <v>1.1972800000000001</v>
      </c>
      <c r="G323" s="272" t="s">
        <v>13</v>
      </c>
      <c r="I323"/>
      <c r="L323" s="3" t="s">
        <v>227</v>
      </c>
      <c r="M323" s="486">
        <v>1.15</v>
      </c>
      <c r="N323"/>
      <c r="O323"/>
      <c r="U323"/>
      <c r="V323" s="194" t="s">
        <v>385</v>
      </c>
      <c r="W323" s="356" t="s">
        <v>386</v>
      </c>
      <c r="X323"/>
      <c r="AA323"/>
      <c r="AB323"/>
      <c r="AC323"/>
      <c r="AD323" s="115"/>
      <c r="AE323" s="115"/>
      <c r="AF323" s="14"/>
      <c r="AG323" s="115"/>
      <c r="AH323" s="115"/>
      <c r="AI323" s="115"/>
      <c r="AJ323" s="115"/>
      <c r="AK323" s="115"/>
      <c r="AL323" s="115"/>
      <c r="AM323" s="115"/>
      <c r="AN323" s="15"/>
      <c r="AO323" s="115"/>
      <c r="AP323" s="116"/>
      <c r="AQ323" s="116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</row>
    <row r="324" spans="1:56" ht="14.25" thickTop="1">
      <c r="A324" s="358">
        <v>6</v>
      </c>
      <c r="B324" s="270" t="s">
        <v>22</v>
      </c>
      <c r="C324" s="8">
        <f t="shared" si="42"/>
        <v>0.7474735394367039</v>
      </c>
      <c r="D324" s="8">
        <f t="shared" si="43"/>
        <v>1.2356</v>
      </c>
      <c r="E324" s="8">
        <f t="shared" si="44"/>
        <v>1.1008</v>
      </c>
      <c r="F324" s="8">
        <f>IF(F318&lt;0,"",macf(F$318,$A324))</f>
        <v>0.7178853967752588</v>
      </c>
      <c r="G324" s="273" t="s">
        <v>9</v>
      </c>
      <c r="I324"/>
      <c r="L324" s="2" t="s">
        <v>4</v>
      </c>
      <c r="M324" s="274">
        <f>M322/M323</f>
        <v>434.7826086956522</v>
      </c>
      <c r="N324" s="5" t="s">
        <v>10</v>
      </c>
      <c r="V324" s="194" t="s">
        <v>387</v>
      </c>
      <c r="W324" s="356" t="s">
        <v>388</v>
      </c>
      <c r="AA324"/>
      <c r="AB324"/>
      <c r="AC324"/>
      <c r="AD324" s="115"/>
      <c r="AE324" s="115"/>
      <c r="AF324" s="14">
        <f>INDEX(AF$235:AF$289,(AD321-1)*8+6,1)</f>
        <v>17</v>
      </c>
      <c r="AG324" s="115"/>
      <c r="AH324" s="115"/>
      <c r="AI324" s="115"/>
      <c r="AJ324" s="115"/>
      <c r="AK324" s="115"/>
      <c r="AL324" s="115"/>
      <c r="AM324" s="115"/>
      <c r="AN324" s="15">
        <f>INDEX(AR$235:AR$289,(AD321-1)*8+6,1)</f>
        <v>25.944781250000034</v>
      </c>
      <c r="AO324" s="115"/>
      <c r="AP324" s="116"/>
      <c r="AQ324" s="116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</row>
    <row r="325" spans="1:56" ht="13.5">
      <c r="A325" s="358">
        <v>7</v>
      </c>
      <c r="B325" s="2" t="s">
        <v>372</v>
      </c>
      <c r="C325" s="41">
        <f t="shared" si="42"/>
        <v>0.08823166104925091</v>
      </c>
      <c r="D325" s="41">
        <f t="shared" si="43"/>
        <v>0.0884940089555937</v>
      </c>
      <c r="E325" s="41">
        <f t="shared" si="44"/>
        <v>0.08844391771177895</v>
      </c>
      <c r="F325" s="41">
        <f>IF(F318&lt;0,"",macf(F$318,$A325))</f>
        <v>0.055785204648023244</v>
      </c>
      <c r="G325" s="273" t="s">
        <v>166</v>
      </c>
      <c r="I325" s="2"/>
      <c r="J325"/>
      <c r="L325" s="2" t="s">
        <v>7</v>
      </c>
      <c r="M325" s="7">
        <f>VLOOKUP(M321,taba,2)</f>
        <v>1.08</v>
      </c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 s="115"/>
      <c r="AE325" s="115"/>
      <c r="AF325" s="14">
        <f>AF324</f>
        <v>17</v>
      </c>
      <c r="AG325" s="115"/>
      <c r="AH325" s="115"/>
      <c r="AI325" s="115"/>
      <c r="AJ325" s="115"/>
      <c r="AK325" s="115"/>
      <c r="AL325" s="115"/>
      <c r="AM325" s="115"/>
      <c r="AN325" s="15">
        <v>0</v>
      </c>
      <c r="AO325" s="115"/>
      <c r="AP325" s="116"/>
      <c r="AQ325" s="116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</row>
    <row r="326" spans="1:56" ht="13.5">
      <c r="A326" s="358">
        <v>8</v>
      </c>
      <c r="B326" s="270" t="s">
        <v>373</v>
      </c>
      <c r="C326" s="295">
        <f t="shared" si="42"/>
        <v>0</v>
      </c>
      <c r="D326" s="295">
        <f t="shared" si="43"/>
        <v>0</v>
      </c>
      <c r="E326" s="295">
        <f t="shared" si="44"/>
        <v>0</v>
      </c>
      <c r="F326" s="295">
        <f>IF(F318&lt;0,"",macf(F$318,$A326))</f>
        <v>0</v>
      </c>
      <c r="G326" s="273" t="s">
        <v>9</v>
      </c>
      <c r="I326"/>
      <c r="J326"/>
      <c r="L326" s="3" t="s">
        <v>8</v>
      </c>
      <c r="M326" s="7">
        <f>VLOOKUP(M321,taba,3)</f>
        <v>50</v>
      </c>
      <c r="N326" s="273" t="s">
        <v>9</v>
      </c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 s="115"/>
      <c r="AE326" s="115"/>
      <c r="AF326" s="14"/>
      <c r="AG326" s="115"/>
      <c r="AH326" s="115"/>
      <c r="AI326" s="115"/>
      <c r="AJ326" s="115"/>
      <c r="AK326" s="115"/>
      <c r="AL326" s="115"/>
      <c r="AM326" s="115"/>
      <c r="AN326" s="115"/>
      <c r="AO326" s="115"/>
      <c r="AP326" s="116"/>
      <c r="AQ326" s="11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</row>
    <row r="327" spans="2:56" ht="13.5">
      <c r="B327"/>
      <c r="C327" s="1" t="str">
        <f>IF(C317&lt;0,"âme",IF(C315=0,"âme",IF(C319&lt;C315,"table","âme")))</f>
        <v>table</v>
      </c>
      <c r="D327" s="1" t="str">
        <f>IF(D317&lt;0,"âme",IF(D315=0,"âme",IF(D319&lt;D315,"table","âme")))</f>
        <v>âme</v>
      </c>
      <c r="E327" s="1" t="str">
        <f>IF(E317&lt;0,"âme",IF(E315=0,"âme",IF(E319&lt;E315,"table","âme")))</f>
        <v>âme</v>
      </c>
      <c r="F327" s="1" t="str">
        <f>IF(F318&lt;0,"",IF(F317&lt;0,"âme",IF(F315=0,"âme",IF(F319&lt;F315,"table","âme"))))</f>
        <v>table</v>
      </c>
      <c r="G327"/>
      <c r="I327"/>
      <c r="J327"/>
      <c r="L327" s="3" t="s">
        <v>371</v>
      </c>
      <c r="M327" s="10">
        <f>0.9*M326</f>
        <v>45</v>
      </c>
      <c r="N327" s="273" t="s">
        <v>9</v>
      </c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 s="15">
        <f>AD321+1</f>
        <v>7</v>
      </c>
      <c r="AE327" s="115"/>
      <c r="AF327" s="14">
        <f>INDEX(AF$235:AF$289,(AD327-1)*8+2,1)</f>
        <v>11</v>
      </c>
      <c r="AG327" s="115"/>
      <c r="AH327" s="115"/>
      <c r="AI327" s="115"/>
      <c r="AJ327" s="115"/>
      <c r="AK327" s="115"/>
      <c r="AL327" s="115"/>
      <c r="AM327" s="115"/>
      <c r="AN327" s="15">
        <f>INDEX(AR$235:AR$289,(AD327-1)*8+2,1)</f>
        <v>-200.11178124999998</v>
      </c>
      <c r="AO327" s="115"/>
      <c r="AP327" s="116"/>
      <c r="AQ327" s="116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</row>
    <row r="328" spans="2:56" ht="12"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 s="115"/>
      <c r="AE328" s="115"/>
      <c r="AF328" s="14">
        <f>AF327</f>
        <v>11</v>
      </c>
      <c r="AG328" s="115"/>
      <c r="AH328" s="115"/>
      <c r="AI328" s="115"/>
      <c r="AJ328" s="115"/>
      <c r="AK328" s="115"/>
      <c r="AL328" s="115"/>
      <c r="AM328" s="115"/>
      <c r="AN328" s="15">
        <v>0</v>
      </c>
      <c r="AO328" s="115"/>
      <c r="AP328" s="116"/>
      <c r="AQ328" s="116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</row>
    <row r="329" spans="1:56" ht="13.5">
      <c r="A329" s="288" t="s">
        <v>392</v>
      </c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 s="115"/>
      <c r="AE329" s="115"/>
      <c r="AF329" s="14"/>
      <c r="AG329" s="115"/>
      <c r="AH329" s="115"/>
      <c r="AI329" s="115"/>
      <c r="AJ329" s="115"/>
      <c r="AK329" s="115"/>
      <c r="AL329" s="115"/>
      <c r="AM329" s="115"/>
      <c r="AN329" s="15"/>
      <c r="AO329" s="115"/>
      <c r="AP329" s="116"/>
      <c r="AQ329" s="116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</row>
    <row r="330" spans="1:56" ht="15.75" thickBot="1">
      <c r="A330" s="2"/>
      <c r="B330"/>
      <c r="C330" s="1" t="s">
        <v>389</v>
      </c>
      <c r="D330"/>
      <c r="E330" s="142" t="s">
        <v>400</v>
      </c>
      <c r="G330"/>
      <c r="K330"/>
      <c r="L330"/>
      <c r="M330"/>
      <c r="N330"/>
      <c r="O330"/>
      <c r="P330"/>
      <c r="R330" s="1" t="s">
        <v>511</v>
      </c>
      <c r="S330"/>
      <c r="T330"/>
      <c r="U330"/>
      <c r="V330"/>
      <c r="W330"/>
      <c r="X330"/>
      <c r="Y330"/>
      <c r="Z330"/>
      <c r="AA330"/>
      <c r="AB330"/>
      <c r="AC330"/>
      <c r="AD330" s="115"/>
      <c r="AE330" s="115"/>
      <c r="AF330" s="14">
        <f>INDEX(AF$235:AF$289,(AD327-1)*8+6,1)</f>
        <v>17</v>
      </c>
      <c r="AG330" s="115"/>
      <c r="AH330" s="115"/>
      <c r="AI330" s="115"/>
      <c r="AJ330" s="115"/>
      <c r="AK330" s="115"/>
      <c r="AL330" s="115"/>
      <c r="AM330" s="115"/>
      <c r="AN330" s="15">
        <f>INDEX(AR$235:AR$289,(AD327-1)*8+6,1)</f>
        <v>25.944781250000034</v>
      </c>
      <c r="AO330" s="115"/>
      <c r="AP330" s="116"/>
      <c r="AQ330" s="116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</row>
    <row r="331" spans="1:56" ht="13.5" thickBot="1" thickTop="1">
      <c r="A331" s="2"/>
      <c r="B331" s="2" t="s">
        <v>509</v>
      </c>
      <c r="C331" s="488">
        <v>5</v>
      </c>
      <c r="D331" t="str">
        <f>VLOOKUP(C331,A319:G327,2)&amp;" ("&amp;VLOOKUP(C331,A319:G327,7)&amp;")"</f>
        <v>As (cm2)</v>
      </c>
      <c r="E331" s="142"/>
      <c r="G331"/>
      <c r="I331" s="344"/>
      <c r="J331" s="138"/>
      <c r="K331" s="349"/>
      <c r="L331" s="349"/>
      <c r="N331"/>
      <c r="O331"/>
      <c r="P331"/>
      <c r="Q331" s="11" t="str">
        <f aca="true" t="shared" si="45" ref="Q331:R334">AI28</f>
        <v>A</v>
      </c>
      <c r="R331" s="13">
        <f t="shared" si="45"/>
        <v>1.05</v>
      </c>
      <c r="S331"/>
      <c r="T331"/>
      <c r="U331"/>
      <c r="V331"/>
      <c r="W331"/>
      <c r="X331"/>
      <c r="Y331"/>
      <c r="Z331"/>
      <c r="AA331"/>
      <c r="AB331"/>
      <c r="AC331"/>
      <c r="AD331" s="115"/>
      <c r="AE331" s="115"/>
      <c r="AF331" s="14">
        <f>AF330</f>
        <v>17</v>
      </c>
      <c r="AG331" s="115"/>
      <c r="AH331" s="115"/>
      <c r="AI331" s="115"/>
      <c r="AJ331" s="115"/>
      <c r="AK331" s="115"/>
      <c r="AL331" s="115"/>
      <c r="AM331" s="115"/>
      <c r="AN331" s="15">
        <v>0</v>
      </c>
      <c r="AO331" s="115"/>
      <c r="AP331" s="116"/>
      <c r="AQ331" s="116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</row>
    <row r="332" spans="1:56" ht="15" thickBot="1" thickTop="1">
      <c r="A332" s="2"/>
      <c r="B332"/>
      <c r="C332"/>
      <c r="D332"/>
      <c r="E332" s="2" t="s">
        <v>512</v>
      </c>
      <c r="F332" s="360" t="str">
        <f>"M = "&amp;C317</f>
        <v>M = 35,5</v>
      </c>
      <c r="G332" t="s">
        <v>12</v>
      </c>
      <c r="I332" s="2" t="s">
        <v>24</v>
      </c>
      <c r="J332" s="359">
        <f>fmumax(C312,C314,C315,C316,M316,M317,M310,M312,M324,M318)*1000</f>
        <v>718.6209621482365</v>
      </c>
      <c r="K332" t="s">
        <v>394</v>
      </c>
      <c r="L332"/>
      <c r="P332"/>
      <c r="Q332" s="14" t="str">
        <f t="shared" si="45"/>
        <v>B</v>
      </c>
      <c r="R332" s="16">
        <f t="shared" si="45"/>
        <v>1.08</v>
      </c>
      <c r="S332"/>
      <c r="T332"/>
      <c r="U332"/>
      <c r="V332"/>
      <c r="W332"/>
      <c r="X332"/>
      <c r="Y332"/>
      <c r="Z332"/>
      <c r="AA332"/>
      <c r="AB332"/>
      <c r="AC332"/>
      <c r="AD332" s="115"/>
      <c r="AE332" s="115"/>
      <c r="AF332" s="14"/>
      <c r="AG332" s="115"/>
      <c r="AH332" s="115"/>
      <c r="AI332" s="115"/>
      <c r="AJ332" s="115"/>
      <c r="AK332" s="115"/>
      <c r="AL332" s="115"/>
      <c r="AM332" s="115"/>
      <c r="AN332" s="115"/>
      <c r="AO332" s="115"/>
      <c r="AP332" s="116"/>
      <c r="AQ332" s="116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</row>
    <row r="333" spans="1:56" ht="13.5" thickBot="1" thickTop="1">
      <c r="A333"/>
      <c r="B333" s="29" t="s">
        <v>390</v>
      </c>
      <c r="C333"/>
      <c r="D333"/>
      <c r="E333"/>
      <c r="F333"/>
      <c r="G333"/>
      <c r="H333"/>
      <c r="I333" s="2" t="s">
        <v>7</v>
      </c>
      <c r="J333" s="488">
        <v>1.05</v>
      </c>
      <c r="K333" t="s">
        <v>510</v>
      </c>
      <c r="L333"/>
      <c r="P333"/>
      <c r="Q333" s="14" t="str">
        <f t="shared" si="45"/>
        <v>C</v>
      </c>
      <c r="R333" s="16">
        <f t="shared" si="45"/>
        <v>1.15</v>
      </c>
      <c r="S333"/>
      <c r="U333"/>
      <c r="V333"/>
      <c r="W333"/>
      <c r="X333"/>
      <c r="Y333"/>
      <c r="Z333"/>
      <c r="AA333"/>
      <c r="AB333"/>
      <c r="AC333"/>
      <c r="AD333" s="115">
        <f>AD241</f>
        <v>1</v>
      </c>
      <c r="AE333" s="115"/>
      <c r="AF333" s="14">
        <f>INDEX(AF$358:AF$365,AD333,1)</f>
        <v>0</v>
      </c>
      <c r="AG333" s="115"/>
      <c r="AH333" s="115"/>
      <c r="AI333" s="115"/>
      <c r="AJ333" s="115"/>
      <c r="AK333" s="115"/>
      <c r="AL333" s="115"/>
      <c r="AM333" s="115"/>
      <c r="AN333" s="115"/>
      <c r="AO333" s="131">
        <f>AR293*AR291</f>
        <v>-73.1262</v>
      </c>
      <c r="AP333" s="116"/>
      <c r="AQ333" s="116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</row>
    <row r="334" spans="1:56" ht="13.5" thickTop="1">
      <c r="A334"/>
      <c r="B334" s="19"/>
      <c r="C334" s="285" t="str">
        <f>$D331&amp;"-R"</f>
        <v>As (cm2)-R</v>
      </c>
      <c r="D334" s="285" t="str">
        <f>$D331&amp;"-PR"</f>
        <v>As (cm2)-PR</v>
      </c>
      <c r="E334" s="285" t="str">
        <f>$D331&amp;"-Sargin"</f>
        <v>As (cm2)-Sargin</v>
      </c>
      <c r="F334" s="286" t="s">
        <v>391</v>
      </c>
      <c r="I334" s="291">
        <v>1</v>
      </c>
      <c r="J334" s="291">
        <v>2</v>
      </c>
      <c r="K334" s="291">
        <v>3</v>
      </c>
      <c r="L334"/>
      <c r="M334"/>
      <c r="N334"/>
      <c r="O334"/>
      <c r="P334"/>
      <c r="Q334" s="17" t="str">
        <f t="shared" si="45"/>
        <v>D</v>
      </c>
      <c r="R334" s="18">
        <f t="shared" si="45"/>
        <v>1</v>
      </c>
      <c r="S334"/>
      <c r="T334"/>
      <c r="U334"/>
      <c r="V334"/>
      <c r="W334"/>
      <c r="X334"/>
      <c r="Y334"/>
      <c r="Z334"/>
      <c r="AA334"/>
      <c r="AB334"/>
      <c r="AC334"/>
      <c r="AD334" s="115"/>
      <c r="AE334" s="115"/>
      <c r="AF334" s="14">
        <f>AF333</f>
        <v>0</v>
      </c>
      <c r="AG334" s="115"/>
      <c r="AH334" s="115"/>
      <c r="AI334" s="115"/>
      <c r="AJ334" s="115"/>
      <c r="AK334" s="115"/>
      <c r="AL334" s="115"/>
      <c r="AM334" s="115"/>
      <c r="AN334" s="115"/>
      <c r="AO334" s="15">
        <f>AR293*AR292</f>
        <v>46.774950000000004</v>
      </c>
      <c r="AP334" s="116"/>
      <c r="AQ334" s="116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</row>
    <row r="335" spans="1:56" ht="12">
      <c r="A335">
        <v>0</v>
      </c>
      <c r="B335" s="287">
        <f aca="true" t="shared" si="46" ref="B335:B366">A335/50*J$332*J$333</f>
        <v>0</v>
      </c>
      <c r="C335" s="292">
        <f>macf(I335,$C$331)</f>
        <v>0</v>
      </c>
      <c r="D335" s="292">
        <f aca="true" t="shared" si="47" ref="D335:E338">macf(J335,$C$331)</f>
        <v>0</v>
      </c>
      <c r="E335" s="292">
        <f t="shared" si="47"/>
        <v>0</v>
      </c>
      <c r="F335"/>
      <c r="G335"/>
      <c r="H335"/>
      <c r="I335" s="289" t="str">
        <f aca="true" t="shared" si="48" ref="I335:K354">facd($B335,$C$312,$C$313,$C$314,$C$315,$C$316,$M$312,$M$313,$M$314,$M$315,$M$316,$M$317,$M$318,$M$324,$M$326,$M$325,I$334)</f>
        <v>0000000000310124691333024500003303465928000000000000000000000000000000000000000000000000000000000000</v>
      </c>
      <c r="J335" s="289" t="str">
        <f t="shared" si="48"/>
        <v>0000000000310124691333024500003303465928000000000000000000000000000000000000000000000000000000000000</v>
      </c>
      <c r="K335" s="290" t="str">
        <f t="shared" si="48"/>
        <v>0000000000310124691333024500003303465928000000000000000000000000000000000000000000000000000000000000</v>
      </c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 s="115"/>
      <c r="AE335" s="115"/>
      <c r="AF335" s="117"/>
      <c r="AG335" s="115"/>
      <c r="AH335" s="115"/>
      <c r="AI335" s="115"/>
      <c r="AJ335" s="115"/>
      <c r="AK335" s="115"/>
      <c r="AL335" s="115"/>
      <c r="AM335" s="115"/>
      <c r="AN335" s="115"/>
      <c r="AO335" s="15"/>
      <c r="AP335" s="116"/>
      <c r="AQ335" s="116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</row>
    <row r="336" spans="1:56" ht="12">
      <c r="A336">
        <v>1</v>
      </c>
      <c r="B336" s="271">
        <f t="shared" si="46"/>
        <v>15.091040205112968</v>
      </c>
      <c r="C336" s="299">
        <f>macf(I336,$C$331)</f>
        <v>0.8019567745298528</v>
      </c>
      <c r="D336" s="299">
        <f t="shared" si="47"/>
        <v>0.804369334223502</v>
      </c>
      <c r="E336" s="299">
        <f t="shared" si="47"/>
        <v>0.8038520590670493</v>
      </c>
      <c r="F336"/>
      <c r="G336"/>
      <c r="H336"/>
      <c r="I336" s="361" t="str">
        <f t="shared" si="48"/>
        <v>3103356837310124759833024500003303465928310112469531013189313102267628000000000031025050170000000000</v>
      </c>
      <c r="J336" s="361" t="str">
        <f t="shared" si="48"/>
        <v>3103148087310124834433024500003303465928310112432131011310563102266825000000000031025035020000000000</v>
      </c>
      <c r="K336" s="362" t="str">
        <f t="shared" si="48"/>
        <v>310317294231012481853302450000330346592831011244013101153425310226699500000000003102503824310125730731012786230000000000000000000000000000000000000000</v>
      </c>
      <c r="L336"/>
      <c r="M336"/>
      <c r="N336"/>
      <c r="O336"/>
      <c r="P336"/>
      <c r="Q336"/>
      <c r="R336"/>
      <c r="S336"/>
      <c r="T336" s="29" t="s">
        <v>410</v>
      </c>
      <c r="U336"/>
      <c r="V336"/>
      <c r="W336"/>
      <c r="X336"/>
      <c r="Y336"/>
      <c r="Z336"/>
      <c r="AA336"/>
      <c r="AB336"/>
      <c r="AC336"/>
      <c r="AD336" s="115">
        <f>1+AD333</f>
        <v>2</v>
      </c>
      <c r="AE336" s="115"/>
      <c r="AF336" s="14">
        <f>INDEX(AF$358:AF$365,AD336,1)</f>
        <v>5.4</v>
      </c>
      <c r="AG336" s="115"/>
      <c r="AH336" s="115"/>
      <c r="AI336" s="115"/>
      <c r="AJ336" s="115"/>
      <c r="AK336" s="115"/>
      <c r="AL336" s="115"/>
      <c r="AM336" s="115"/>
      <c r="AN336" s="115"/>
      <c r="AO336" s="114">
        <f>AR241</f>
        <v>-243.75400000000002</v>
      </c>
      <c r="AP336" s="116"/>
      <c r="AQ336" s="11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</row>
    <row r="337" spans="1:56" ht="12">
      <c r="A337">
        <v>2</v>
      </c>
      <c r="B337" s="271">
        <f t="shared" si="46"/>
        <v>30.182080410225936</v>
      </c>
      <c r="C337" s="299">
        <f>macf(I337,$C$331)</f>
        <v>1.6083900000000002</v>
      </c>
      <c r="D337" s="299">
        <f t="shared" si="47"/>
        <v>1.61332</v>
      </c>
      <c r="E337" s="299">
        <f t="shared" si="47"/>
        <v>1.61234</v>
      </c>
      <c r="F337"/>
      <c r="G337"/>
      <c r="H337"/>
      <c r="I337" s="361" t="str">
        <f t="shared" si="48"/>
        <v>3103177920310124829133024500003303465928330116083931011579063102133440000000000031022518040000000000</v>
      </c>
      <c r="J337" s="361" t="str">
        <f t="shared" si="48"/>
        <v>3103101289310124905333024500003303465928330116133233011124373102133032000000000031022510330000000000</v>
      </c>
      <c r="K337" s="362" t="str">
        <f t="shared" si="48"/>
        <v>310311440031012489023302450000330346592833011612343101100738310213311300000000003102251186310119392831012701370000000000000000000000000000000000000000</v>
      </c>
      <c r="L337"/>
      <c r="M337"/>
      <c r="N337"/>
      <c r="O337"/>
      <c r="P337"/>
      <c r="Q337"/>
      <c r="R337"/>
      <c r="S337"/>
      <c r="T337" s="138" t="s">
        <v>393</v>
      </c>
      <c r="U337"/>
      <c r="V337"/>
      <c r="W337"/>
      <c r="X337"/>
      <c r="Y337"/>
      <c r="Z337"/>
      <c r="AA337"/>
      <c r="AB337"/>
      <c r="AC337"/>
      <c r="AD337" s="115"/>
      <c r="AE337" s="115"/>
      <c r="AF337" s="14">
        <f>AF336</f>
        <v>5.4</v>
      </c>
      <c r="AG337" s="115"/>
      <c r="AH337" s="115"/>
      <c r="AI337" s="115"/>
      <c r="AJ337" s="115"/>
      <c r="AK337" s="115"/>
      <c r="AL337" s="115"/>
      <c r="AM337" s="115"/>
      <c r="AN337" s="115"/>
      <c r="AO337" s="15">
        <v>0</v>
      </c>
      <c r="AP337" s="116"/>
      <c r="AQ337" s="116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</row>
    <row r="338" spans="1:56" ht="12">
      <c r="A338">
        <v>3</v>
      </c>
      <c r="B338" s="271">
        <f t="shared" si="46"/>
        <v>45.2731206153389</v>
      </c>
      <c r="C338" s="299">
        <f>macf(I338,$C$331)</f>
        <v>2.4193900000000004</v>
      </c>
      <c r="D338" s="299">
        <f t="shared" si="47"/>
        <v>2.4260200000000003</v>
      </c>
      <c r="E338" s="299">
        <f t="shared" si="47"/>
        <v>2.42485</v>
      </c>
      <c r="F338"/>
      <c r="G338"/>
      <c r="H338"/>
      <c r="I338" s="361" t="str">
        <f t="shared" si="48"/>
        <v>3103118280310124899233024500003303465928330124193931011042293101887100000000000031021673960000000000</v>
      </c>
      <c r="J338" s="361" t="str">
        <f t="shared" si="48"/>
        <v>3102802445310124967433024500003303465928330124260233011428613101884678000000000031021669390000000000</v>
      </c>
      <c r="K338" s="362" t="str">
        <f t="shared" si="48"/>
        <v>310288519431012495543302450000330346592833012424853301129123310188510400000000003102167020310116664931012636070000000000000000000000000000000000000000</v>
      </c>
      <c r="L338"/>
      <c r="M338"/>
      <c r="N338"/>
      <c r="O338"/>
      <c r="P338"/>
      <c r="Q338"/>
      <c r="R338"/>
      <c r="S338"/>
      <c r="T338" s="29" t="s">
        <v>411</v>
      </c>
      <c r="U338"/>
      <c r="V338"/>
      <c r="W338"/>
      <c r="X338"/>
      <c r="Y338"/>
      <c r="Z338"/>
      <c r="AA338"/>
      <c r="AB338"/>
      <c r="AC338"/>
      <c r="AD338" s="115"/>
      <c r="AE338" s="115"/>
      <c r="AF338" s="117"/>
      <c r="AG338" s="115"/>
      <c r="AH338" s="115"/>
      <c r="AI338" s="115"/>
      <c r="AJ338" s="115"/>
      <c r="AK338" s="115"/>
      <c r="AL338" s="115"/>
      <c r="AM338" s="115"/>
      <c r="AN338" s="115"/>
      <c r="AO338" s="115"/>
      <c r="AP338" s="116"/>
      <c r="AQ338" s="116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</row>
    <row r="339" spans="1:56" ht="12">
      <c r="A339">
        <v>4</v>
      </c>
      <c r="B339" s="271">
        <f t="shared" si="46"/>
        <v>60.36416082045187</v>
      </c>
      <c r="C339" s="299">
        <f aca="true" t="shared" si="49" ref="C339:C385">macf(I339,$C$331)</f>
        <v>3.23504</v>
      </c>
      <c r="D339" s="299">
        <f aca="true" t="shared" si="50" ref="D339:D385">macf(J339,$C$331)</f>
        <v>3.24244</v>
      </c>
      <c r="E339" s="299">
        <f aca="true" t="shared" si="51" ref="E339:E385">macf(K339,$C$331)</f>
        <v>3.2413600000000002</v>
      </c>
      <c r="F339"/>
      <c r="G339"/>
      <c r="H339"/>
      <c r="I339" s="361" t="str">
        <f t="shared" si="48"/>
        <v>3102884582310124970133024500003303465928330132350433011292153101663436000000000031021251910000000000</v>
      </c>
      <c r="J339" s="361" t="str">
        <f t="shared" si="48"/>
        <v>3102674435310125027233024500003303465928330132424433011710073101661924000000000031021249050000000000</v>
      </c>
      <c r="K339" s="362" t="str">
        <f t="shared" si="48"/>
        <v>310273093431012501893302450000330346592833013241363301157327310166214300000000003102124947310115098131012580020000000000000000000000000000000000000000</v>
      </c>
      <c r="L339"/>
      <c r="M339"/>
      <c r="N339"/>
      <c r="O339"/>
      <c r="P339"/>
      <c r="Q339"/>
      <c r="R339"/>
      <c r="S339"/>
      <c r="T339" s="138" t="s">
        <v>499</v>
      </c>
      <c r="U339"/>
      <c r="V339"/>
      <c r="W339"/>
      <c r="X339"/>
      <c r="Y339"/>
      <c r="Z339"/>
      <c r="AA339"/>
      <c r="AB339"/>
      <c r="AC339"/>
      <c r="AD339" s="115">
        <f>1+AD336</f>
        <v>3</v>
      </c>
      <c r="AE339" s="115"/>
      <c r="AF339" s="14">
        <f>INDEX(AF$358:AF$365,AD339,1)</f>
        <v>10.8</v>
      </c>
      <c r="AG339" s="115"/>
      <c r="AH339" s="115"/>
      <c r="AI339" s="115"/>
      <c r="AJ339" s="115"/>
      <c r="AK339" s="115"/>
      <c r="AL339" s="115"/>
      <c r="AM339" s="115"/>
      <c r="AN339" s="115"/>
      <c r="AO339" s="114">
        <f>AR249</f>
        <v>-243.08700000000002</v>
      </c>
      <c r="AP339" s="116"/>
      <c r="AQ339" s="116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</row>
    <row r="340" spans="1:56" ht="12">
      <c r="A340">
        <v>5</v>
      </c>
      <c r="B340" s="271">
        <f t="shared" si="46"/>
        <v>75.45520102556483</v>
      </c>
      <c r="C340" s="299">
        <f t="shared" si="49"/>
        <v>4.055420000000001</v>
      </c>
      <c r="D340" s="299">
        <f t="shared" si="50"/>
        <v>4.06292</v>
      </c>
      <c r="E340" s="299">
        <f t="shared" si="51"/>
        <v>4.062060000000001</v>
      </c>
      <c r="F340"/>
      <c r="G340"/>
      <c r="H340"/>
      <c r="I340" s="361" t="str">
        <f t="shared" si="48"/>
        <v>3102705639310125041833024500003303465928330140554233011631713101529229000000000031019986620000000000</v>
      </c>
      <c r="J340" s="361" t="str">
        <f t="shared" si="48"/>
        <v>3102584631310125088133024500003303465928330140629233011984333101528252000000000031019968180000000000</v>
      </c>
      <c r="K340" s="362" t="str">
        <f t="shared" si="48"/>
        <v>310262546331012508283302450000330346592833014062063301184947310152836400000000003101997030310114079231012529180000000000000000000000000000000000000000</v>
      </c>
      <c r="L340"/>
      <c r="M340"/>
      <c r="N340"/>
      <c r="O340"/>
      <c r="P340"/>
      <c r="Q340"/>
      <c r="R340"/>
      <c r="S340"/>
      <c r="T340" s="138"/>
      <c r="U340"/>
      <c r="V340"/>
      <c r="W340"/>
      <c r="X340"/>
      <c r="Y340"/>
      <c r="Z340"/>
      <c r="AA340"/>
      <c r="AB340"/>
      <c r="AC340"/>
      <c r="AD340" s="115"/>
      <c r="AE340" s="115"/>
      <c r="AF340" s="14">
        <f>AF339</f>
        <v>10.8</v>
      </c>
      <c r="AG340" s="115"/>
      <c r="AH340" s="115"/>
      <c r="AI340" s="115"/>
      <c r="AJ340" s="115"/>
      <c r="AK340" s="115"/>
      <c r="AL340" s="115"/>
      <c r="AM340" s="115"/>
      <c r="AN340" s="115"/>
      <c r="AO340" s="15">
        <v>0</v>
      </c>
      <c r="AP340" s="116"/>
      <c r="AQ340" s="116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</row>
    <row r="341" spans="1:56" ht="12">
      <c r="A341">
        <v>6</v>
      </c>
      <c r="B341" s="271">
        <f t="shared" si="46"/>
        <v>90.5462412306778</v>
      </c>
      <c r="C341" s="299">
        <f t="shared" si="49"/>
        <v>4.8806</v>
      </c>
      <c r="D341" s="299">
        <f t="shared" si="50"/>
        <v>4.88806</v>
      </c>
      <c r="E341" s="299">
        <f t="shared" si="51"/>
        <v>4.887250000000001</v>
      </c>
      <c r="F341"/>
      <c r="G341"/>
      <c r="H341"/>
      <c r="I341" s="361" t="str">
        <f t="shared" si="48"/>
        <v>3102586334310125114333024500003303465928330148806033011978323101439750000000000031018298150000000000</v>
      </c>
      <c r="J341" s="361" t="str">
        <f t="shared" si="48"/>
        <v>3102516052310125152733024500003303465928330148880633012261293101439079000000000031018285490000000000</v>
      </c>
      <c r="K341" s="362" t="str">
        <f t="shared" si="48"/>
        <v>310254727631012514863302450000330346592833014887253301212618310143915200000000003101828686310113373831012481350000000000000000000000000000000000000000</v>
      </c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 s="115"/>
      <c r="AE341" s="115"/>
      <c r="AF341" s="117"/>
      <c r="AG341" s="115"/>
      <c r="AH341" s="115"/>
      <c r="AI341" s="115"/>
      <c r="AJ341" s="115"/>
      <c r="AK341" s="115"/>
      <c r="AL341" s="115"/>
      <c r="AM341" s="115"/>
      <c r="AN341" s="115"/>
      <c r="AO341" s="115"/>
      <c r="AP341" s="116"/>
      <c r="AQ341" s="116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</row>
    <row r="342" spans="1:56" ht="12">
      <c r="A342">
        <v>7</v>
      </c>
      <c r="B342" s="271">
        <f t="shared" si="46"/>
        <v>105.63728143579077</v>
      </c>
      <c r="C342" s="299">
        <f t="shared" si="49"/>
        <v>5.71067</v>
      </c>
      <c r="D342" s="299">
        <f t="shared" si="50"/>
        <v>5.71809</v>
      </c>
      <c r="E342" s="299">
        <f t="shared" si="51"/>
        <v>5.717390000000001</v>
      </c>
      <c r="F342"/>
      <c r="G342"/>
      <c r="H342"/>
      <c r="I342" s="361" t="str">
        <f t="shared" si="48"/>
        <v>3102501108310125187733024500003303465928330157106733012332223101375831000000000031017091970000000000</v>
      </c>
      <c r="J342" s="361" t="str">
        <f t="shared" si="48"/>
        <v>3102461586310125220433024500003303465928330157180933012543193101375343000000000031017082780000000000</v>
      </c>
      <c r="K342" s="362" t="str">
        <f t="shared" si="48"/>
        <v>310248607531012521743302450000330346592833015717393301240821310137538900000000003101708364310112871431012435090000000000000000000000000000000000000000</v>
      </c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 s="115">
        <f>1+AD339</f>
        <v>4</v>
      </c>
      <c r="AE342" s="115"/>
      <c r="AF342" s="14">
        <f>INDEX(AF$358:AF$365,AD342,1)</f>
        <v>17.200000000000003</v>
      </c>
      <c r="AG342" s="115"/>
      <c r="AH342" s="115"/>
      <c r="AI342" s="115"/>
      <c r="AJ342" s="115"/>
      <c r="AK342" s="115"/>
      <c r="AL342" s="115"/>
      <c r="AM342" s="115"/>
      <c r="AN342" s="115"/>
      <c r="AO342" s="114">
        <f>AR257</f>
        <v>0</v>
      </c>
      <c r="AP342" s="116"/>
      <c r="AQ342" s="116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</row>
    <row r="343" spans="1:56" ht="12">
      <c r="A343">
        <v>8</v>
      </c>
      <c r="B343" s="271">
        <f t="shared" si="46"/>
        <v>120.72832164090374</v>
      </c>
      <c r="C343" s="299">
        <f t="shared" si="49"/>
        <v>6.545730000000001</v>
      </c>
      <c r="D343" s="299">
        <f t="shared" si="50"/>
        <v>6.553100000000001</v>
      </c>
      <c r="E343" s="299">
        <f t="shared" si="51"/>
        <v>6.553100000000001</v>
      </c>
      <c r="F343"/>
      <c r="G343"/>
      <c r="H343"/>
      <c r="I343" s="361" t="str">
        <f t="shared" si="48"/>
        <v>3102437180310125262033024500003303465928330165457333012693673101327885000000000031016187230000000000</v>
      </c>
      <c r="J343" s="361" t="str">
        <f t="shared" si="48"/>
        <v>3102417281310125290533024500003303465928330165531033012830203101327516000000000031016180270000000000</v>
      </c>
      <c r="K343" s="362" t="str">
        <f t="shared" si="48"/>
        <v>310243620831012529053302450000330346592833016553103301270003310132751600000000003101618027310112513731012389270000000000000000000000000000000000000000</v>
      </c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 s="115"/>
      <c r="AE343" s="115"/>
      <c r="AF343" s="14">
        <f>AF342</f>
        <v>17.200000000000003</v>
      </c>
      <c r="AG343" s="115"/>
      <c r="AH343" s="115"/>
      <c r="AI343" s="115"/>
      <c r="AJ343" s="115"/>
      <c r="AK343" s="115"/>
      <c r="AL343" s="115"/>
      <c r="AM343" s="115"/>
      <c r="AN343" s="115"/>
      <c r="AO343" s="15">
        <v>0</v>
      </c>
      <c r="AP343" s="116"/>
      <c r="AQ343" s="116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</row>
    <row r="344" spans="1:56" ht="12">
      <c r="A344">
        <v>9</v>
      </c>
      <c r="B344" s="271">
        <f t="shared" si="46"/>
        <v>135.81936184601668</v>
      </c>
      <c r="C344" s="299">
        <f t="shared" si="49"/>
        <v>7.385860000000001</v>
      </c>
      <c r="D344" s="299">
        <f t="shared" si="50"/>
        <v>7.393180000000001</v>
      </c>
      <c r="E344" s="299">
        <f t="shared" si="51"/>
        <v>7.395270000000001</v>
      </c>
      <c r="F344"/>
      <c r="G344"/>
      <c r="H344"/>
      <c r="I344" s="361" t="str">
        <f t="shared" si="48"/>
        <v>3102387452310125337233024500003303465928330173858633013062933101290589000000000031015483440000000000</v>
      </c>
      <c r="J344" s="361" t="str">
        <f t="shared" si="48"/>
        <v>3102380533310125362333024500003303465928330173931833013122483101290301000000000031015478010000000000</v>
      </c>
      <c r="K344" s="362" t="str">
        <f t="shared" si="48"/>
        <v>310239425031012536953302450000330346592833017395273301300658310129021800000000003101547646310112268831012342830000000000000000000000000000000000000000</v>
      </c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 s="115"/>
      <c r="AE344" s="115"/>
      <c r="AF344" s="117"/>
      <c r="AG344" s="115"/>
      <c r="AH344" s="115"/>
      <c r="AI344" s="115"/>
      <c r="AJ344" s="115"/>
      <c r="AK344" s="115"/>
      <c r="AL344" s="115"/>
      <c r="AM344" s="115"/>
      <c r="AN344" s="115"/>
      <c r="AO344" s="115"/>
      <c r="AP344" s="116"/>
      <c r="AQ344" s="116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</row>
    <row r="345" spans="1:56" ht="12">
      <c r="A345">
        <v>10</v>
      </c>
      <c r="B345" s="271">
        <f t="shared" si="46"/>
        <v>150.91040205112967</v>
      </c>
      <c r="C345" s="299">
        <f t="shared" si="49"/>
        <v>8.231150000000001</v>
      </c>
      <c r="D345" s="299">
        <f t="shared" si="50"/>
        <v>8.238430000000001</v>
      </c>
      <c r="E345" s="299">
        <f t="shared" si="51"/>
        <v>8.245180000000001</v>
      </c>
      <c r="F345"/>
      <c r="G345"/>
      <c r="H345"/>
      <c r="I345" s="361" t="str">
        <f t="shared" si="48"/>
        <v>3102347662310125413333024500003303465928330182311533013440273101260747000000000031014920330000000000</v>
      </c>
      <c r="J345" s="361" t="str">
        <f t="shared" si="48"/>
        <v>3102349560310125435733024500003303465928330182384333013420173101260516000000000031014915980000000000</v>
      </c>
      <c r="K345" s="362" t="str">
        <f t="shared" si="48"/>
        <v>310235795031012545663302450000330346592833018245183301333407310126030300000000003101491195310112120031012294620000000000000000000000000000000000000000</v>
      </c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 s="115">
        <f>1+AD342</f>
        <v>5</v>
      </c>
      <c r="AE345" s="115"/>
      <c r="AF345" s="14">
        <f>INDEX(AF$358:AF$365,AD345,1)</f>
        <v>17.200000000000003</v>
      </c>
      <c r="AG345" s="115"/>
      <c r="AH345" s="115"/>
      <c r="AI345" s="115"/>
      <c r="AJ345" s="115"/>
      <c r="AK345" s="115"/>
      <c r="AL345" s="115"/>
      <c r="AM345" s="115"/>
      <c r="AN345" s="115"/>
      <c r="AO345" s="114">
        <f>AR265</f>
        <v>0</v>
      </c>
      <c r="AP345" s="116"/>
      <c r="AQ345" s="116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</row>
    <row r="346" spans="1:56" ht="12">
      <c r="A346">
        <v>11</v>
      </c>
      <c r="B346" s="271">
        <f t="shared" si="46"/>
        <v>166.00144225624263</v>
      </c>
      <c r="C346" s="299">
        <f t="shared" si="49"/>
        <v>9.13639</v>
      </c>
      <c r="D346" s="299">
        <f t="shared" si="50"/>
        <v>9.137830000000001</v>
      </c>
      <c r="E346" s="299">
        <f t="shared" si="51"/>
        <v>9.135290000000001</v>
      </c>
      <c r="F346"/>
      <c r="G346"/>
      <c r="H346"/>
      <c r="I346" s="361" t="str">
        <f t="shared" si="48"/>
        <v>3102315102310125490333024116573303463140330191363933013500003101236326000000000031014432820000000000</v>
      </c>
      <c r="J346" s="361" t="str">
        <f t="shared" si="48"/>
        <v>3102318558310125513933024165563303463496330191378333013500003101236107000000000031014432120000000000</v>
      </c>
      <c r="K346" s="362" t="str">
        <f t="shared" si="48"/>
        <v>310232532231012554523302426144330346419333019135293301350000310123581800000000003101443335310112081231012270603101114841000000000000000000000000000000</v>
      </c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 s="115"/>
      <c r="AE346" s="115"/>
      <c r="AF346" s="14">
        <f>AF345</f>
        <v>17.200000000000003</v>
      </c>
      <c r="AG346" s="115"/>
      <c r="AH346" s="115"/>
      <c r="AI346" s="115"/>
      <c r="AJ346" s="115"/>
      <c r="AK346" s="115"/>
      <c r="AL346" s="115"/>
      <c r="AM346" s="115"/>
      <c r="AN346" s="115"/>
      <c r="AO346" s="15">
        <v>0</v>
      </c>
      <c r="AP346" s="116"/>
      <c r="AQ346" s="11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</row>
    <row r="347" spans="1:56" ht="12">
      <c r="A347">
        <v>12</v>
      </c>
      <c r="B347" s="271">
        <f t="shared" si="46"/>
        <v>181.0924824613556</v>
      </c>
      <c r="C347" s="299">
        <f t="shared" si="49"/>
        <v>10.058200000000001</v>
      </c>
      <c r="D347" s="299">
        <f t="shared" si="50"/>
        <v>10.0614</v>
      </c>
      <c r="E347" s="299">
        <f t="shared" si="51"/>
        <v>10.0611</v>
      </c>
      <c r="F347"/>
      <c r="G347"/>
      <c r="H347"/>
      <c r="I347" s="361" t="str">
        <f t="shared" si="48"/>
        <v>3102287962310125568233023731873303460342330210058233013500003101215972000000000031014026550000000000</v>
      </c>
      <c r="J347" s="361" t="str">
        <f t="shared" si="48"/>
        <v>3102291093310125594433023776253303460665330210061433013500003101215751000000000031014025260000000000</v>
      </c>
      <c r="K347" s="362" t="str">
        <f t="shared" si="48"/>
        <v>310229723731012562893302386334330346129833021006113301350000310121546000000000003101402536310112081231012270603101116412000000000000000000000000000000</v>
      </c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 s="115"/>
      <c r="AE347" s="115"/>
      <c r="AF347" s="117"/>
      <c r="AG347" s="115"/>
      <c r="AH347" s="115"/>
      <c r="AI347" s="115"/>
      <c r="AJ347" s="115"/>
      <c r="AK347" s="115"/>
      <c r="AL347" s="115"/>
      <c r="AM347" s="115"/>
      <c r="AN347" s="115"/>
      <c r="AO347" s="115"/>
      <c r="AP347" s="116"/>
      <c r="AQ347" s="116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</row>
    <row r="348" spans="1:56" ht="12">
      <c r="A348">
        <v>13</v>
      </c>
      <c r="B348" s="271">
        <f t="shared" si="46"/>
        <v>196.18352266646855</v>
      </c>
      <c r="C348" s="299">
        <f t="shared" si="49"/>
        <v>10.986500000000001</v>
      </c>
      <c r="D348" s="299">
        <f t="shared" si="50"/>
        <v>10.9917</v>
      </c>
      <c r="E348" s="299">
        <f t="shared" si="51"/>
        <v>10.994100000000001</v>
      </c>
      <c r="F348"/>
      <c r="G348"/>
      <c r="H348"/>
      <c r="I348" s="361" t="str">
        <f t="shared" si="48"/>
        <v>3102264993310125647233023406283303457974330210986533013500003101198745000000000031013686310000000000</v>
      </c>
      <c r="J348" s="361" t="str">
        <f t="shared" si="48"/>
        <v>3102267848310125675933023446753303458268330210991733013500003101198523000000000031013684570000000000</v>
      </c>
      <c r="K348" s="362" t="str">
        <f t="shared" si="48"/>
        <v>310227346731012571383302352640330345884833021099413301350000310119823000000000003101368378310112081231012270603101118026000000000000000000000000000000</v>
      </c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 s="115">
        <f>1+AD345</f>
        <v>6</v>
      </c>
      <c r="AE348" s="115"/>
      <c r="AF348" s="14">
        <f>INDEX(AF$358:AF$365,AD348,1)</f>
        <v>17.200000000000003</v>
      </c>
      <c r="AG348" s="115"/>
      <c r="AH348" s="115"/>
      <c r="AI348" s="115"/>
      <c r="AJ348" s="115"/>
      <c r="AK348" s="115"/>
      <c r="AL348" s="115"/>
      <c r="AM348" s="115"/>
      <c r="AN348" s="115"/>
      <c r="AO348" s="114">
        <f>AR273</f>
        <v>0</v>
      </c>
      <c r="AP348" s="116"/>
      <c r="AQ348" s="116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</row>
    <row r="349" spans="1:56" ht="12">
      <c r="A349">
        <v>14</v>
      </c>
      <c r="B349" s="271">
        <f t="shared" si="46"/>
        <v>211.27456287158154</v>
      </c>
      <c r="C349" s="299">
        <f t="shared" si="49"/>
        <v>11.9214</v>
      </c>
      <c r="D349" s="299">
        <f t="shared" si="50"/>
        <v>11.9288</v>
      </c>
      <c r="E349" s="299">
        <f t="shared" si="51"/>
        <v>11.934000000000001</v>
      </c>
      <c r="F349"/>
      <c r="G349"/>
      <c r="H349"/>
      <c r="I349" s="361" t="str">
        <f t="shared" si="48"/>
        <v>3102245300310125727233023127133303455944330211921433013500003101183975000000000031013397240000000000</v>
      </c>
      <c r="J349" s="361" t="str">
        <f t="shared" si="48"/>
        <v>3102247919310125758433023164263303456214330211928833013500003101183752000000000031013395130000000000</v>
      </c>
      <c r="K349" s="362" t="str">
        <f t="shared" si="48"/>
        <v>310225308731012579983302323751330345674733021193403301350000310118345700000000003101339363310112081231012270603101119686000000000000000000000000000000</v>
      </c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 s="115"/>
      <c r="AE349" s="115"/>
      <c r="AF349" s="14">
        <f>AF348</f>
        <v>17.200000000000003</v>
      </c>
      <c r="AG349" s="115"/>
      <c r="AH349" s="115"/>
      <c r="AI349" s="115"/>
      <c r="AJ349" s="115"/>
      <c r="AK349" s="115"/>
      <c r="AL349" s="115"/>
      <c r="AM349" s="115"/>
      <c r="AN349" s="115"/>
      <c r="AO349" s="15">
        <v>0</v>
      </c>
      <c r="AP349" s="116"/>
      <c r="AQ349" s="116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</row>
    <row r="350" spans="1:56" ht="12">
      <c r="A350">
        <v>15</v>
      </c>
      <c r="B350" s="271">
        <f t="shared" si="46"/>
        <v>226.36560307669447</v>
      </c>
      <c r="C350" s="299">
        <f t="shared" si="49"/>
        <v>12.8628</v>
      </c>
      <c r="D350" s="299">
        <f t="shared" si="50"/>
        <v>12.8726</v>
      </c>
      <c r="E350" s="299">
        <f t="shared" si="51"/>
        <v>12.8811</v>
      </c>
      <c r="F350"/>
      <c r="G350"/>
      <c r="H350"/>
      <c r="I350" s="361" t="str">
        <f t="shared" si="48"/>
        <v>3102228228310125808233022885143303454184330212862833013500003101171171000000000031013148610000000000</v>
      </c>
      <c r="J350" s="361" t="str">
        <f t="shared" si="48"/>
        <v>3102230642310125842133022919353303454433330212872633013500003101170946000000000031013146190000000000</v>
      </c>
      <c r="K350" s="362" t="str">
        <f t="shared" si="48"/>
        <v>310223541831012588713302298706330345492533021288113301350000310117064900000000003101314413310112081231012270603101121393000000000000000000000000000000</v>
      </c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 s="115"/>
      <c r="AE350" s="115"/>
      <c r="AF350" s="117"/>
      <c r="AG350" s="115"/>
      <c r="AH350" s="115"/>
      <c r="AI350" s="115"/>
      <c r="AJ350" s="115"/>
      <c r="AK350" s="115"/>
      <c r="AL350" s="115"/>
      <c r="AM350" s="115"/>
      <c r="AN350" s="115"/>
      <c r="AO350" s="115"/>
      <c r="AP350" s="116"/>
      <c r="AQ350" s="116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</row>
    <row r="351" spans="1:56" ht="12">
      <c r="A351">
        <v>16</v>
      </c>
      <c r="B351" s="271">
        <f t="shared" si="46"/>
        <v>241.4566432818075</v>
      </c>
      <c r="C351" s="299">
        <f t="shared" si="49"/>
        <v>13.8107</v>
      </c>
      <c r="D351" s="299">
        <f t="shared" si="50"/>
        <v>13.823300000000001</v>
      </c>
      <c r="E351" s="299">
        <f t="shared" si="51"/>
        <v>13.8352</v>
      </c>
      <c r="F351"/>
      <c r="G351"/>
      <c r="H351"/>
      <c r="I351" s="361" t="str">
        <f t="shared" si="48"/>
        <v>3102213286310125890233022673333303452644330213810733013500003101159964000000000031012932480000000000</v>
      </c>
      <c r="J351" s="361" t="str">
        <f t="shared" si="48"/>
        <v>3102215520310125926933022705003303452874330213823333013500003101159738000000000031012929830000000000</v>
      </c>
      <c r="K351" s="362" t="str">
        <f t="shared" si="48"/>
        <v>310221995331012597553302276784330345333133021383523301350000310115943900000000003101292729310112081231012270603101123149000000000000000000000000000000</v>
      </c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 s="115">
        <f>1+AD348</f>
        <v>7</v>
      </c>
      <c r="AE351" s="115"/>
      <c r="AF351" s="14">
        <f>INDEX(AF$358:AF$365,AD351,1)</f>
        <v>17.200000000000003</v>
      </c>
      <c r="AG351" s="115"/>
      <c r="AH351" s="115"/>
      <c r="AI351" s="115"/>
      <c r="AJ351" s="115"/>
      <c r="AK351" s="115"/>
      <c r="AL351" s="115"/>
      <c r="AM351" s="115"/>
      <c r="AN351" s="115"/>
      <c r="AO351" s="114">
        <f>AR281</f>
        <v>0</v>
      </c>
      <c r="AP351" s="116"/>
      <c r="AQ351" s="116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</row>
    <row r="352" spans="1:56" ht="12">
      <c r="A352">
        <v>17</v>
      </c>
      <c r="B352" s="271">
        <f t="shared" si="46"/>
        <v>256.54768348692045</v>
      </c>
      <c r="C352" s="299">
        <f t="shared" si="49"/>
        <v>14.765400000000001</v>
      </c>
      <c r="D352" s="299">
        <f t="shared" si="50"/>
        <v>14.780800000000001</v>
      </c>
      <c r="E352" s="299">
        <f t="shared" si="51"/>
        <v>14.796700000000001</v>
      </c>
      <c r="F352"/>
      <c r="G352"/>
      <c r="H352"/>
      <c r="I352" s="361" t="str">
        <f t="shared" si="48"/>
        <v>3102200097310125973333022486383303451284330214765433013500003101150073000000000031012742890000000000</v>
      </c>
      <c r="J352" s="361" t="str">
        <f t="shared" si="48"/>
        <v>3102202172310126012833022515793303451498330214780833013500003101149845000000000031012740020000000000</v>
      </c>
      <c r="K352" s="362" t="str">
        <f t="shared" si="48"/>
        <v>310220630231012606523302257434330345192433021479673301350000310114954400000000003101273709310112081231012270603101124957000000000000000000000000000000</v>
      </c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 s="115"/>
      <c r="AE352" s="115"/>
      <c r="AF352" s="14">
        <f>AF351</f>
        <v>17.200000000000003</v>
      </c>
      <c r="AG352" s="115"/>
      <c r="AH352" s="115"/>
      <c r="AI352" s="115"/>
      <c r="AJ352" s="115"/>
      <c r="AK352" s="115"/>
      <c r="AL352" s="115"/>
      <c r="AM352" s="115"/>
      <c r="AN352" s="115"/>
      <c r="AO352" s="15">
        <v>0</v>
      </c>
      <c r="AP352" s="116"/>
      <c r="AQ352" s="116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</row>
    <row r="353" spans="1:56" ht="12">
      <c r="A353">
        <v>18</v>
      </c>
      <c r="B353" s="271">
        <f t="shared" si="46"/>
        <v>271.63872369203335</v>
      </c>
      <c r="C353" s="299">
        <f t="shared" si="49"/>
        <v>15.7268</v>
      </c>
      <c r="D353" s="299">
        <f t="shared" si="50"/>
        <v>15.7454</v>
      </c>
      <c r="E353" s="299">
        <f t="shared" si="51"/>
        <v>15.765400000000001</v>
      </c>
      <c r="F353"/>
      <c r="G353"/>
      <c r="H353"/>
      <c r="I353" s="361" t="str">
        <f t="shared" si="48"/>
        <v>3102188370310126057533022320153303450075330215726833013500003101141277000000000031012575210000000000</v>
      </c>
      <c r="J353" s="361" t="str">
        <f t="shared" si="48"/>
        <v>3102190303310126099933022347543303450274330215745433013500003101141048000000000031012572170000000000</v>
      </c>
      <c r="K353" s="362" t="str">
        <f t="shared" si="48"/>
        <v>310219416331012615623302240227330345067233021576543301350000310114074400000000003101256890310112081231012270603101126819000000000000000000000000000000</v>
      </c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 s="115"/>
      <c r="AE353" s="115"/>
      <c r="AF353" s="117"/>
      <c r="AG353" s="115"/>
      <c r="AH353" s="115"/>
      <c r="AI353" s="115"/>
      <c r="AJ353" s="115"/>
      <c r="AK353" s="115"/>
      <c r="AL353" s="115"/>
      <c r="AM353" s="115"/>
      <c r="AN353" s="115"/>
      <c r="AO353" s="115"/>
      <c r="AP353" s="116"/>
      <c r="AQ353" s="116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</row>
    <row r="354" spans="1:56" ht="12">
      <c r="A354">
        <v>19</v>
      </c>
      <c r="B354" s="271">
        <f t="shared" si="46"/>
        <v>286.72976389714637</v>
      </c>
      <c r="C354" s="299">
        <f t="shared" si="49"/>
        <v>16.695</v>
      </c>
      <c r="D354" s="299">
        <f t="shared" si="50"/>
        <v>16.717000000000002</v>
      </c>
      <c r="E354" s="299">
        <f t="shared" si="51"/>
        <v>16.741600000000002</v>
      </c>
      <c r="F354"/>
      <c r="G354"/>
      <c r="H354"/>
      <c r="I354" s="361" t="str">
        <f t="shared" si="48"/>
        <v>3102177873310126142933022171353303448993330216695033013500003101133405000000000031012425860000000000</v>
      </c>
      <c r="J354" s="361" t="str">
        <f t="shared" si="48"/>
        <v>3102179679310126188333022196953303449179330216717033013500003101133174000000000031012422670000000000</v>
      </c>
      <c r="K354" s="362" t="str">
        <f t="shared" si="48"/>
        <v>310218329731012624853302224824330344955233021674163301350000310113286800000000003101241911310112081231012270603101128737000000000000000000000000000000</v>
      </c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 s="115">
        <f>1+AD351</f>
        <v>8</v>
      </c>
      <c r="AE354" s="115"/>
      <c r="AF354" s="14">
        <f>INDEX(AF$358:AF$365,AD354,1)</f>
        <v>17.200000000000003</v>
      </c>
      <c r="AG354" s="115"/>
      <c r="AH354" s="115"/>
      <c r="AI354" s="115"/>
      <c r="AJ354" s="115"/>
      <c r="AK354" s="115"/>
      <c r="AL354" s="115"/>
      <c r="AM354" s="115"/>
      <c r="AN354" s="115"/>
      <c r="AO354" s="131">
        <f>AR291*AR293</f>
        <v>-73.1262</v>
      </c>
      <c r="AP354" s="116"/>
      <c r="AQ354" s="116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</row>
    <row r="355" spans="1:56" ht="12">
      <c r="A355">
        <v>20</v>
      </c>
      <c r="B355" s="271">
        <f t="shared" si="46"/>
        <v>301.82080410225933</v>
      </c>
      <c r="C355" s="299">
        <f t="shared" si="49"/>
        <v>17.6702</v>
      </c>
      <c r="D355" s="299">
        <f t="shared" si="50"/>
        <v>17.6959</v>
      </c>
      <c r="E355" s="299">
        <f t="shared" si="51"/>
        <v>17.7254</v>
      </c>
      <c r="F355"/>
      <c r="G355"/>
      <c r="H355"/>
      <c r="I355" s="361" t="str">
        <f aca="true" t="shared" si="52" ref="I355:K374">facd($B355,$C$312,$C$313,$C$314,$C$315,$C$316,$M$312,$M$313,$M$314,$M$315,$M$316,$M$317,$M$318,$M$324,$M$326,$M$325,I$334)</f>
        <v>3102168422310126229433022037383303448018330217670233013500003101126316000000000031012291980000000000</v>
      </c>
      <c r="J355" s="361" t="str">
        <f t="shared" si="52"/>
        <v>3102170113310126277933022061353303448193330217695933013500003101126083000000000031012288650000000000</v>
      </c>
      <c r="K355" s="362" t="str">
        <f t="shared" si="52"/>
        <v>310217351331012634223302210955330344854333021772543301350000310112577500000000003101228484310112081231012270603101130714000000000000000000000000000000</v>
      </c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 s="115"/>
      <c r="AE355" s="115"/>
      <c r="AF355" s="14">
        <f>AF354</f>
        <v>17.200000000000003</v>
      </c>
      <c r="AG355" s="115"/>
      <c r="AH355" s="115"/>
      <c r="AI355" s="115"/>
      <c r="AJ355" s="115"/>
      <c r="AK355" s="115"/>
      <c r="AL355" s="115"/>
      <c r="AM355" s="115"/>
      <c r="AN355" s="115"/>
      <c r="AO355" s="15">
        <f>AR292*AR293</f>
        <v>46.774950000000004</v>
      </c>
      <c r="AP355" s="116"/>
      <c r="AQ355" s="116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</row>
    <row r="356" spans="1:56" ht="12">
      <c r="A356">
        <v>21</v>
      </c>
      <c r="B356" s="271">
        <f t="shared" si="46"/>
        <v>316.91184430737223</v>
      </c>
      <c r="C356" s="299">
        <f t="shared" si="49"/>
        <v>18.6525</v>
      </c>
      <c r="D356" s="299">
        <f t="shared" si="50"/>
        <v>18.6822</v>
      </c>
      <c r="E356" s="299">
        <f t="shared" si="51"/>
        <v>18.717000000000002</v>
      </c>
      <c r="F356"/>
      <c r="G356"/>
      <c r="H356"/>
      <c r="I356" s="361" t="str">
        <f t="shared" si="52"/>
        <v>3102159867310126317233021916123303447137330218652533013500003101119900000000000031012171280000000000</v>
      </c>
      <c r="J356" s="361" t="str">
        <f t="shared" si="52"/>
        <v>3102161454310126368733021938613303447300330218682233013500003101119666000000000031012167830000000000</v>
      </c>
      <c r="K356" s="362" t="str">
        <f t="shared" si="52"/>
        <v>310216465631012643733302198400330344763033021871703301350000310111935500000000003101216380310112081231012270603101132753000000000000000000000000000000</v>
      </c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 s="115"/>
      <c r="AE356" s="115"/>
      <c r="AF356" s="117"/>
      <c r="AG356" s="115"/>
      <c r="AH356" s="115"/>
      <c r="AI356" s="115"/>
      <c r="AJ356" s="115"/>
      <c r="AK356" s="115"/>
      <c r="AL356" s="115"/>
      <c r="AM356" s="115"/>
      <c r="AN356" s="115"/>
      <c r="AO356" s="115"/>
      <c r="AP356" s="116"/>
      <c r="AQ356" s="11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</row>
    <row r="357" spans="1:56" ht="12">
      <c r="A357">
        <v>22</v>
      </c>
      <c r="B357" s="271">
        <f t="shared" si="46"/>
        <v>332.00288451248525</v>
      </c>
      <c r="C357" s="299">
        <f t="shared" si="49"/>
        <v>19.642</v>
      </c>
      <c r="D357" s="299">
        <f t="shared" si="50"/>
        <v>19.676000000000002</v>
      </c>
      <c r="E357" s="299">
        <f t="shared" si="51"/>
        <v>19.7164</v>
      </c>
      <c r="F357"/>
      <c r="G357"/>
      <c r="H357"/>
      <c r="I357" s="361" t="str">
        <f t="shared" si="52"/>
        <v>3102152086310126406133021805823303446334330219642033013500003101114065000000000031012061900000000000</v>
      </c>
      <c r="J357" s="361" t="str">
        <f t="shared" si="52"/>
        <v>3102153578310126460933021826973303446488330219676033013500003101113828000000000031012058340000000000</v>
      </c>
      <c r="K357" s="362" t="str">
        <f t="shared" si="52"/>
        <v>310215660031012653383302186981330344680033021971643301350000310111351600000000003101205412310112081231012270603101134856000000000000000000000000000000</v>
      </c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 s="115"/>
      <c r="AE357" s="115"/>
      <c r="AF357" s="117"/>
      <c r="AG357" s="115"/>
      <c r="AH357" s="115"/>
      <c r="AI357" s="115"/>
      <c r="AJ357" s="115"/>
      <c r="AK357" s="115"/>
      <c r="AL357" s="115"/>
      <c r="AM357" s="115"/>
      <c r="AN357" s="115"/>
      <c r="AO357" s="115"/>
      <c r="AP357" s="116"/>
      <c r="AQ357" s="116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</row>
    <row r="358" spans="1:56" ht="12">
      <c r="A358">
        <v>23</v>
      </c>
      <c r="B358" s="271">
        <f t="shared" si="46"/>
        <v>347.0939247175982</v>
      </c>
      <c r="C358" s="299">
        <f t="shared" si="49"/>
        <v>20.6389</v>
      </c>
      <c r="D358" s="299">
        <f t="shared" si="50"/>
        <v>20.677400000000002</v>
      </c>
      <c r="E358" s="299">
        <f t="shared" si="51"/>
        <v>20.7239</v>
      </c>
      <c r="F358"/>
      <c r="G358"/>
      <c r="H358"/>
      <c r="I358" s="361" t="str">
        <f t="shared" si="52"/>
        <v>3102144978310126496333021705073303445602330220638933013500003101108734000000000031011962310000000000</v>
      </c>
      <c r="J358" s="361" t="str">
        <f t="shared" si="52"/>
        <v>3102146383310126554533021724993303445746330220677433013500003101108496000000000031011958650000000000</v>
      </c>
      <c r="K358" s="362" t="str">
        <f t="shared" si="52"/>
        <v>310214924031012663183302176548330344604133022072393301350000310110818100000000003101195425310112081231012270603101137027000000000000000000000000000000</v>
      </c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 s="115">
        <v>1</v>
      </c>
      <c r="AE358" s="115"/>
      <c r="AF358" s="14">
        <v>0</v>
      </c>
      <c r="AG358" s="115"/>
      <c r="AH358" s="115"/>
      <c r="AI358" s="115"/>
      <c r="AJ358" s="115"/>
      <c r="AK358" s="115"/>
      <c r="AL358" s="115"/>
      <c r="AM358" s="115"/>
      <c r="AN358" s="115"/>
      <c r="AO358" s="115"/>
      <c r="AP358" s="16">
        <v>0</v>
      </c>
      <c r="AQ358" s="116"/>
      <c r="AR358"/>
      <c r="AS358" t="s">
        <v>142</v>
      </c>
      <c r="AT358" t="s">
        <v>143</v>
      </c>
      <c r="AU358"/>
      <c r="AV358"/>
      <c r="AW358"/>
      <c r="AX358"/>
      <c r="AY358"/>
      <c r="AZ358"/>
      <c r="BA358"/>
      <c r="BB358"/>
      <c r="BC358"/>
      <c r="BD358"/>
    </row>
    <row r="359" spans="1:56" ht="12">
      <c r="A359">
        <v>24</v>
      </c>
      <c r="B359" s="271">
        <f t="shared" si="46"/>
        <v>362.1849649227112</v>
      </c>
      <c r="C359" s="299">
        <f t="shared" si="49"/>
        <v>21.6432</v>
      </c>
      <c r="D359" s="299">
        <f t="shared" si="50"/>
        <v>21.686700000000002</v>
      </c>
      <c r="E359" s="299">
        <f t="shared" si="51"/>
        <v>21.739700000000003</v>
      </c>
      <c r="F359"/>
      <c r="G359"/>
      <c r="H359"/>
      <c r="I359" s="361" t="str">
        <f t="shared" si="52"/>
        <v>3102138459310126587933021612663303444930330221643233013500003101103844000000000031011871250000000000</v>
      </c>
      <c r="J359" s="361" t="str">
        <f t="shared" si="52"/>
        <v>3102139784310126649433021631443303445066330221686733013500003101103605000000000031011867500000000000</v>
      </c>
      <c r="K359" s="362" t="str">
        <f t="shared" si="52"/>
        <v>310214248931012673143302166979330344534533022173973301350000310110328700000000003101186294310112081231012270603101139269000000000000000000000000000000</v>
      </c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 s="115">
        <v>2</v>
      </c>
      <c r="AE359" s="115"/>
      <c r="AF359" s="14">
        <f>INDEX(AF$235:AF$289,8*(AD359-2)+7)</f>
        <v>5.4</v>
      </c>
      <c r="AG359" s="115"/>
      <c r="AH359" s="115"/>
      <c r="AI359" s="115"/>
      <c r="AJ359" s="115"/>
      <c r="AK359" s="115"/>
      <c r="AL359" s="115"/>
      <c r="AM359" s="115"/>
      <c r="AN359" s="115"/>
      <c r="AO359" s="115"/>
      <c r="AP359" s="16">
        <v>0</v>
      </c>
      <c r="AQ359" s="116"/>
      <c r="AR359">
        <v>1</v>
      </c>
      <c r="AS359" s="1">
        <f aca="true" t="shared" si="53" ref="AS359:AS365">INDEX(B$247:H$247,1,AR359)</f>
        <v>5.4</v>
      </c>
      <c r="AT359">
        <v>0</v>
      </c>
      <c r="AU359"/>
      <c r="AV359"/>
      <c r="AW359"/>
      <c r="AX359"/>
      <c r="AY359"/>
      <c r="AZ359"/>
      <c r="BA359"/>
      <c r="BB359"/>
      <c r="BC359"/>
      <c r="BD359"/>
    </row>
    <row r="360" spans="1:56" ht="12">
      <c r="A360">
        <v>25</v>
      </c>
      <c r="B360" s="271">
        <f t="shared" si="46"/>
        <v>377.27600512782413</v>
      </c>
      <c r="C360" s="299">
        <f t="shared" si="49"/>
        <v>22.6553</v>
      </c>
      <c r="D360" s="299">
        <f t="shared" si="50"/>
        <v>22.7039</v>
      </c>
      <c r="E360" s="299">
        <f t="shared" si="51"/>
        <v>22.764</v>
      </c>
      <c r="F360"/>
      <c r="G360"/>
      <c r="H360"/>
      <c r="I360" s="361" t="str">
        <f t="shared" si="52"/>
        <v>3102132458310126680733021527603303444311330222655333013500003301100660000000000031011787660000000000</v>
      </c>
      <c r="J360" s="361" t="str">
        <f t="shared" si="52"/>
        <v>3102133709310126745833021545333303444440330222703933013500003301100905000000000031011783830000000000</v>
      </c>
      <c r="K360" s="362" t="str">
        <f t="shared" si="52"/>
        <v>310213627431012683253302158169330344470433022276403301350000330110123200000000003101177912310112081231012270603101141586000000000000000000000000000000</v>
      </c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 s="115">
        <v>3</v>
      </c>
      <c r="AE360" s="115"/>
      <c r="AF360" s="14">
        <f aca="true" t="shared" si="54" ref="AF360:AF365">INDEX(AF$235:AF$289,8*(AD360-2)+7)</f>
        <v>10.8</v>
      </c>
      <c r="AG360" s="115"/>
      <c r="AH360" s="115"/>
      <c r="AI360" s="115"/>
      <c r="AJ360" s="115"/>
      <c r="AK360" s="115"/>
      <c r="AL360" s="115"/>
      <c r="AM360" s="115"/>
      <c r="AN360" s="115"/>
      <c r="AO360" s="115"/>
      <c r="AP360" s="16">
        <v>0</v>
      </c>
      <c r="AQ360" s="116"/>
      <c r="AR360">
        <v>2</v>
      </c>
      <c r="AS360" s="1">
        <f t="shared" si="53"/>
        <v>5.4</v>
      </c>
      <c r="AT360">
        <f aca="true" t="shared" si="55" ref="AT360:AT365">SUM(AS359,AT359)</f>
        <v>5.4</v>
      </c>
      <c r="AU360"/>
      <c r="AV360"/>
      <c r="AW360"/>
      <c r="AX360"/>
      <c r="AY360"/>
      <c r="AZ360"/>
      <c r="BA360"/>
      <c r="BB360"/>
      <c r="BC360"/>
      <c r="BD360"/>
    </row>
    <row r="361" spans="1:56" ht="12">
      <c r="A361">
        <v>26</v>
      </c>
      <c r="B361" s="271">
        <f t="shared" si="46"/>
        <v>392.3670453329371</v>
      </c>
      <c r="C361" s="299">
        <f t="shared" si="49"/>
        <v>23.6751</v>
      </c>
      <c r="D361" s="299">
        <f t="shared" si="50"/>
        <v>23.729300000000002</v>
      </c>
      <c r="E361" s="299">
        <f t="shared" si="51"/>
        <v>23.7968</v>
      </c>
      <c r="F361"/>
      <c r="G361"/>
      <c r="H361"/>
      <c r="I361" s="361" t="str">
        <f t="shared" si="52"/>
        <v>3102126916310126774933021449033303443740330223675133013500003301105056000000000031011710650000000000</v>
      </c>
      <c r="J361" s="361" t="str">
        <f t="shared" si="52"/>
        <v>3102128098310126843633021465793303443861330223729333013500003301105325000000000031011706740000000000</v>
      </c>
      <c r="K361" s="362" t="str">
        <f t="shared" si="52"/>
        <v>310213053331012693523302150031330344411233022379683301350000330110568500000000003101170190310112081231012270603101143981000000000000000000000000000000</v>
      </c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 s="115">
        <v>4</v>
      </c>
      <c r="AE361" s="115"/>
      <c r="AF361" s="14">
        <f t="shared" si="54"/>
        <v>17.200000000000003</v>
      </c>
      <c r="AG361" s="115"/>
      <c r="AH361" s="115"/>
      <c r="AI361" s="115"/>
      <c r="AJ361" s="115"/>
      <c r="AK361" s="115"/>
      <c r="AL361" s="115"/>
      <c r="AM361" s="115"/>
      <c r="AN361" s="115"/>
      <c r="AO361" s="115"/>
      <c r="AP361" s="16">
        <v>0</v>
      </c>
      <c r="AQ361" s="116"/>
      <c r="AR361">
        <v>3</v>
      </c>
      <c r="AS361" s="1">
        <f t="shared" si="53"/>
        <v>6.4</v>
      </c>
      <c r="AT361">
        <f t="shared" si="55"/>
        <v>10.8</v>
      </c>
      <c r="AU361"/>
      <c r="AV361"/>
      <c r="AW361"/>
      <c r="AX361"/>
      <c r="AY361"/>
      <c r="AZ361"/>
      <c r="BA361"/>
      <c r="BB361"/>
      <c r="BC361"/>
      <c r="BD361"/>
    </row>
    <row r="362" spans="1:56" ht="12">
      <c r="A362">
        <v>27</v>
      </c>
      <c r="B362" s="271">
        <f t="shared" si="46"/>
        <v>407.4580855380501</v>
      </c>
      <c r="C362" s="299">
        <f t="shared" si="49"/>
        <v>24.703000000000003</v>
      </c>
      <c r="D362" s="299">
        <f t="shared" si="50"/>
        <v>24.7631</v>
      </c>
      <c r="E362" s="299">
        <f t="shared" si="51"/>
        <v>24.8386</v>
      </c>
      <c r="F362"/>
      <c r="G362"/>
      <c r="H362"/>
      <c r="I362" s="361" t="str">
        <f t="shared" si="52"/>
        <v>3102121780310126870533021376243303443210330224703033013500003301109486000000000031011639470000000000</v>
      </c>
      <c r="J362" s="361" t="str">
        <f t="shared" si="52"/>
        <v>3102122899310126943033021392093303443325330224763133013500003301109781000000000031011635490000000000</v>
      </c>
      <c r="K362" s="362" t="str">
        <f t="shared" si="52"/>
        <v>310212521331012703963302142490330344356433022483863301350000330111017500000000003101163052310112081231012270603101146459000000000000000000000000000000</v>
      </c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 s="115">
        <v>5</v>
      </c>
      <c r="AE362" s="115"/>
      <c r="AF362" s="14">
        <f t="shared" si="54"/>
        <v>17.200000000000003</v>
      </c>
      <c r="AG362" s="115"/>
      <c r="AH362" s="115"/>
      <c r="AI362" s="115"/>
      <c r="AJ362" s="115"/>
      <c r="AK362" s="115"/>
      <c r="AL362" s="115"/>
      <c r="AM362" s="115"/>
      <c r="AN362" s="115"/>
      <c r="AO362" s="115"/>
      <c r="AP362" s="16">
        <v>0</v>
      </c>
      <c r="AQ362" s="116"/>
      <c r="AR362">
        <v>4</v>
      </c>
      <c r="AS362" s="1">
        <f t="shared" si="53"/>
      </c>
      <c r="AT362">
        <f t="shared" si="55"/>
        <v>17.200000000000003</v>
      </c>
      <c r="AU362"/>
      <c r="AV362"/>
      <c r="AW362"/>
      <c r="AX362"/>
      <c r="AY362"/>
      <c r="AZ362"/>
      <c r="BA362"/>
      <c r="BB362"/>
      <c r="BC362"/>
      <c r="BD362"/>
    </row>
    <row r="363" spans="1:56" ht="12">
      <c r="A363">
        <v>28</v>
      </c>
      <c r="B363" s="271">
        <f t="shared" si="46"/>
        <v>422.5491257431631</v>
      </c>
      <c r="C363" s="299">
        <f t="shared" si="49"/>
        <v>25.739</v>
      </c>
      <c r="D363" s="299">
        <f t="shared" si="50"/>
        <v>25.805400000000002</v>
      </c>
      <c r="E363" s="299">
        <f t="shared" si="51"/>
        <v>25.889400000000002</v>
      </c>
      <c r="F363"/>
      <c r="G363"/>
      <c r="H363"/>
      <c r="I363" s="361" t="str">
        <f t="shared" si="52"/>
        <v>3102117008310126967633021308593303442718330225739033013500003301113951000000000031011573480000000000</v>
      </c>
      <c r="J363" s="361" t="str">
        <f t="shared" si="52"/>
        <v>3102118067310127043933021323613303442827330225805433013500003301114273000000000031011569430000000000</v>
      </c>
      <c r="K363" s="362" t="str">
        <f t="shared" si="52"/>
        <v>310212026931012714573302135482330344305433022588943301350000330111470400000000003101156434310112081231012270603101149023000000000000000000000000000000</v>
      </c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 s="115">
        <v>6</v>
      </c>
      <c r="AE363" s="115"/>
      <c r="AF363" s="14">
        <f t="shared" si="54"/>
        <v>17.200000000000003</v>
      </c>
      <c r="AG363" s="115"/>
      <c r="AH363" s="115"/>
      <c r="AI363" s="115"/>
      <c r="AJ363" s="115"/>
      <c r="AK363" s="115"/>
      <c r="AL363" s="115"/>
      <c r="AM363" s="115"/>
      <c r="AN363" s="115"/>
      <c r="AO363" s="115"/>
      <c r="AP363" s="16">
        <v>0</v>
      </c>
      <c r="AQ363" s="116"/>
      <c r="AR363">
        <v>5</v>
      </c>
      <c r="AS363" s="1">
        <f t="shared" si="53"/>
      </c>
      <c r="AT363">
        <f t="shared" si="55"/>
        <v>17.200000000000003</v>
      </c>
      <c r="AU363"/>
      <c r="AV363"/>
      <c r="AW363"/>
      <c r="AX363"/>
      <c r="AY363"/>
      <c r="AZ363"/>
      <c r="BA363"/>
      <c r="BB363"/>
      <c r="BC363"/>
      <c r="BD363"/>
    </row>
    <row r="364" spans="1:56" ht="12">
      <c r="A364">
        <v>29</v>
      </c>
      <c r="B364" s="271">
        <f t="shared" si="46"/>
        <v>437.640165948276</v>
      </c>
      <c r="C364" s="299">
        <f t="shared" si="49"/>
        <v>26.7834</v>
      </c>
      <c r="D364" s="299">
        <f t="shared" si="50"/>
        <v>26.8565</v>
      </c>
      <c r="E364" s="299">
        <f t="shared" si="51"/>
        <v>26.9495</v>
      </c>
      <c r="F364"/>
      <c r="G364"/>
      <c r="H364"/>
      <c r="I364" s="361" t="str">
        <f t="shared" si="52"/>
        <v>3102112562310127066233021245573303442260330226783433013500003301118452000000000031011512120000000000</v>
      </c>
      <c r="J364" s="361" t="str">
        <f t="shared" si="52"/>
        <v>3102113565310127146433021259793303442363330226856533013500003301118803000000000031011508010000000000</v>
      </c>
      <c r="K364" s="362" t="str">
        <f t="shared" si="52"/>
        <v>310211566231012725363302128951330344257933022694953301350000330111927300000000003101150281310112081231012270603101151679000000000000000000000000000000</v>
      </c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 s="115">
        <v>7</v>
      </c>
      <c r="AE364" s="115"/>
      <c r="AF364" s="14">
        <f t="shared" si="54"/>
        <v>17.200000000000003</v>
      </c>
      <c r="AG364" s="115"/>
      <c r="AH364" s="115"/>
      <c r="AI364" s="115"/>
      <c r="AJ364" s="115"/>
      <c r="AK364" s="115"/>
      <c r="AL364" s="115"/>
      <c r="AM364" s="115"/>
      <c r="AN364" s="115"/>
      <c r="AO364" s="115"/>
      <c r="AP364" s="16">
        <v>0</v>
      </c>
      <c r="AQ364" s="116"/>
      <c r="AR364">
        <v>6</v>
      </c>
      <c r="AS364" s="1">
        <f t="shared" si="53"/>
      </c>
      <c r="AT364">
        <f t="shared" si="55"/>
        <v>17.200000000000003</v>
      </c>
      <c r="AU364"/>
      <c r="AV364"/>
      <c r="AW364"/>
      <c r="AX364"/>
      <c r="AY364"/>
      <c r="AZ364"/>
      <c r="BA364"/>
      <c r="BB364"/>
      <c r="BC364"/>
      <c r="BD364"/>
    </row>
    <row r="365" spans="1:56" ht="12">
      <c r="A365">
        <v>30</v>
      </c>
      <c r="B365" s="271">
        <f t="shared" si="46"/>
        <v>452.73120615338894</v>
      </c>
      <c r="C365" s="299">
        <f t="shared" si="49"/>
        <v>27.8364</v>
      </c>
      <c r="D365" s="299">
        <f t="shared" si="50"/>
        <v>27.916600000000003</v>
      </c>
      <c r="E365" s="299">
        <f t="shared" si="51"/>
        <v>28.0191</v>
      </c>
      <c r="F365"/>
      <c r="G365"/>
      <c r="H365"/>
      <c r="I365" s="361" t="str">
        <f t="shared" si="52"/>
        <v>3102108409310127166333021186703303441832330227836433013500003301122990000000000031011454920000000000</v>
      </c>
      <c r="J365" s="361" t="str">
        <f t="shared" si="52"/>
        <v>3102109360310127250633021200183303441930330227916633013500003301123372000000000031011450740000000000</v>
      </c>
      <c r="K365" s="362" t="str">
        <f t="shared" si="52"/>
        <v>310211135831012736343302122851330344213633022801913301350000330112388200000000003101144544310112081231012270603101154431000000000000000000000000000000</v>
      </c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 s="115">
        <v>8</v>
      </c>
      <c r="AE365" s="115"/>
      <c r="AF365" s="17">
        <f t="shared" si="54"/>
        <v>17.200000000000003</v>
      </c>
      <c r="AG365" s="118"/>
      <c r="AH365" s="118"/>
      <c r="AI365" s="118"/>
      <c r="AJ365" s="118"/>
      <c r="AK365" s="118"/>
      <c r="AL365" s="118"/>
      <c r="AM365" s="118"/>
      <c r="AN365" s="118"/>
      <c r="AO365" s="118"/>
      <c r="AP365" s="123">
        <v>0</v>
      </c>
      <c r="AQ365" s="116"/>
      <c r="AR365">
        <v>7</v>
      </c>
      <c r="AS365" s="1">
        <f t="shared" si="53"/>
      </c>
      <c r="AT365">
        <f t="shared" si="55"/>
        <v>17.200000000000003</v>
      </c>
      <c r="AU365"/>
      <c r="AV365"/>
      <c r="AW365"/>
      <c r="AX365"/>
      <c r="AY365"/>
      <c r="AZ365"/>
      <c r="BA365"/>
      <c r="BB365"/>
      <c r="BC365"/>
      <c r="BD365"/>
    </row>
    <row r="366" spans="1:56" ht="12">
      <c r="A366">
        <v>31</v>
      </c>
      <c r="B366" s="271">
        <f t="shared" si="46"/>
        <v>467.8222463585019</v>
      </c>
      <c r="C366" s="299">
        <f t="shared" si="49"/>
        <v>28.898200000000003</v>
      </c>
      <c r="D366" s="299">
        <f t="shared" si="50"/>
        <v>28.9859</v>
      </c>
      <c r="E366" s="299">
        <f t="shared" si="51"/>
        <v>29.0985</v>
      </c>
      <c r="F366"/>
      <c r="G366"/>
      <c r="H366"/>
      <c r="I366" s="361" t="str">
        <f t="shared" si="52"/>
        <v>3102104521310127267933021131583303441431330228898233013500003301127565000000000031011401470000000000</v>
      </c>
      <c r="J366" s="361" t="str">
        <f t="shared" si="52"/>
        <v>3102105423310127356533021144373303441524330228985933013500003301127980000000000031011397220000000000</v>
      </c>
      <c r="K366" s="362" t="str">
        <f t="shared" si="52"/>
        <v>310210732831012747503302117138330344172033022909853301350000330112853400000000003101139181310112081231012270603101157284000000000000000000000000000000</v>
      </c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 s="115"/>
      <c r="AE366" s="115"/>
      <c r="AF366" s="117"/>
      <c r="AG366" s="115"/>
      <c r="AH366" s="115"/>
      <c r="AI366" s="115"/>
      <c r="AJ366" s="115"/>
      <c r="AK366" s="115"/>
      <c r="AL366" s="115"/>
      <c r="AM366" s="115"/>
      <c r="AN366" s="115"/>
      <c r="AO366" s="115"/>
      <c r="AP366" s="115"/>
      <c r="AQ366" s="11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</row>
    <row r="367" spans="1:56" ht="12">
      <c r="A367">
        <v>32</v>
      </c>
      <c r="B367" s="271">
        <f aca="true" t="shared" si="56" ref="B367:B385">A367/50*J$332*J$333</f>
        <v>482.913286563615</v>
      </c>
      <c r="C367" s="299">
        <f t="shared" si="49"/>
        <v>29.9689</v>
      </c>
      <c r="D367" s="299">
        <f t="shared" si="50"/>
        <v>30.064600000000002</v>
      </c>
      <c r="E367" s="299">
        <f t="shared" si="51"/>
        <v>30.188100000000002</v>
      </c>
      <c r="F367"/>
      <c r="G367"/>
      <c r="H367"/>
      <c r="I367" s="361" t="str">
        <f t="shared" si="52"/>
        <v>3102100872310127371333021079873303441055330229968933013500003301132179000000000031011351390000000000</v>
      </c>
      <c r="J367" s="361" t="str">
        <f t="shared" si="52"/>
        <v>3102101728310127464233021091993303441143330230064633013500003301132628000000000031011347090000000000</v>
      </c>
      <c r="K367" s="362" t="str">
        <f t="shared" si="52"/>
        <v>310210354631012758863302111777330344133033023018813301350000330113322900000000003101134158310112081231012270603101160246000000000000000000000000000000</v>
      </c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C367" s="1">
        <v>0.1</v>
      </c>
      <c r="AD367" s="35">
        <v>2</v>
      </c>
      <c r="AE367" s="115"/>
      <c r="AF367" s="117">
        <f>INDEX(AF$358:AF$365,AD367,1)-AC$367*INDEX(B$247:H$247,1,AD367)</f>
        <v>4.86</v>
      </c>
      <c r="AG367" s="115"/>
      <c r="AH367" s="115"/>
      <c r="AI367" s="115"/>
      <c r="AJ367" s="115"/>
      <c r="AK367" s="115"/>
      <c r="AL367" s="115"/>
      <c r="AM367" s="115"/>
      <c r="AN367" s="115"/>
      <c r="AO367" s="115"/>
      <c r="AP367" s="115"/>
      <c r="AQ367" s="127">
        <f>IF(AD367&lt;=$B$229,INDEX($B$243:$H$243,1,AD367))</f>
        <v>-200</v>
      </c>
      <c r="AR367"/>
      <c r="AS367"/>
      <c r="AT367"/>
      <c r="AU367"/>
      <c r="AV367"/>
      <c r="AW367"/>
      <c r="AX367"/>
      <c r="AY367"/>
      <c r="AZ367"/>
      <c r="BA367"/>
      <c r="BB367"/>
      <c r="BC367"/>
      <c r="BD367"/>
    </row>
    <row r="368" spans="1:56" ht="12">
      <c r="A368">
        <v>33</v>
      </c>
      <c r="B368" s="271">
        <f t="shared" si="56"/>
        <v>498.00432676872794</v>
      </c>
      <c r="C368" s="299">
        <f t="shared" si="49"/>
        <v>31.072000000000003</v>
      </c>
      <c r="D368" s="299">
        <f t="shared" si="50"/>
        <v>31.2147</v>
      </c>
      <c r="E368" s="299">
        <f t="shared" si="51"/>
        <v>31.906200000000002</v>
      </c>
      <c r="F368"/>
      <c r="G368"/>
      <c r="H368"/>
      <c r="I368" s="361" t="str">
        <f t="shared" si="52"/>
        <v>3101973715310127496233021030243303440694330231072033013500003301136932310210869933012557360000000000</v>
      </c>
      <c r="J368" s="361" t="str">
        <f t="shared" si="52"/>
        <v>3101980071310127626733021039253303440759330231214733013500003301137582310214337233012569110000000000</v>
      </c>
      <c r="K368" s="362" t="str">
        <f t="shared" si="52"/>
        <v>3101980071310128238633021039253303440759330231906233013500003301140629310214337233012626020000000000</v>
      </c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F368" s="117">
        <f>AF367+2*AC$367*INDEX(B$247:H$247,1,AD367)</f>
        <v>5.94</v>
      </c>
      <c r="AG368" s="115"/>
      <c r="AH368" s="15"/>
      <c r="AI368" s="115"/>
      <c r="AJ368" s="115"/>
      <c r="AK368" s="15"/>
      <c r="AL368" s="115"/>
      <c r="AM368" s="115"/>
      <c r="AN368" s="115"/>
      <c r="AO368" s="115"/>
      <c r="AP368" s="115"/>
      <c r="AQ368" s="116">
        <f>AQ367</f>
        <v>-200</v>
      </c>
      <c r="AR368"/>
      <c r="AS368"/>
      <c r="AT368"/>
      <c r="AU368"/>
      <c r="AV368"/>
      <c r="AW368"/>
      <c r="AX368"/>
      <c r="AY368"/>
      <c r="AZ368"/>
      <c r="BA368"/>
      <c r="BB368"/>
      <c r="BC368"/>
      <c r="BD368"/>
    </row>
    <row r="369" spans="1:56" ht="12">
      <c r="A369">
        <v>34</v>
      </c>
      <c r="B369" s="271">
        <f t="shared" si="56"/>
        <v>513.0953669738409</v>
      </c>
      <c r="C369" s="299">
        <f t="shared" si="49"/>
        <v>32.1839</v>
      </c>
      <c r="D369" s="299">
        <f t="shared" si="50"/>
        <v>32.3496</v>
      </c>
      <c r="E369" s="299">
        <f t="shared" si="51"/>
        <v>32.475100000000005</v>
      </c>
      <c r="F369"/>
      <c r="G369"/>
      <c r="H369"/>
      <c r="I369" s="361" t="str">
        <f t="shared" si="52"/>
        <v>3101940799310127621233019835833303440354330232183933013500003301141723310148262333012648880000000000</v>
      </c>
      <c r="J369" s="361" t="str">
        <f t="shared" si="52"/>
        <v>3101942507310127764533019860033303440372330232349633013500003301142458310149695533012662510000000000</v>
      </c>
      <c r="K369" s="362" t="str">
        <f t="shared" si="52"/>
        <v>3101960922310127884333021012103303440562330232475133013500003301143073310173114733012672850000000000</v>
      </c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E369" s="115"/>
      <c r="AF369" s="117"/>
      <c r="AG369" s="115"/>
      <c r="AH369" s="15"/>
      <c r="AI369" s="115"/>
      <c r="AJ369" s="115"/>
      <c r="AK369" s="115"/>
      <c r="AL369" s="115"/>
      <c r="AM369" s="115"/>
      <c r="AN369" s="115"/>
      <c r="AO369" s="115"/>
      <c r="AP369" s="115"/>
      <c r="AQ369" s="116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</row>
    <row r="370" spans="1:56" ht="12">
      <c r="A370">
        <v>35</v>
      </c>
      <c r="B370" s="271">
        <f t="shared" si="56"/>
        <v>528.1864071789538</v>
      </c>
      <c r="C370" s="299">
        <f t="shared" si="49"/>
        <v>33.2958</v>
      </c>
      <c r="D370" s="299">
        <f t="shared" si="50"/>
        <v>33.368300000000005</v>
      </c>
      <c r="E370" s="299">
        <f t="shared" si="51"/>
        <v>33.9382</v>
      </c>
      <c r="F370"/>
      <c r="G370"/>
      <c r="H370"/>
      <c r="I370" s="361" t="str">
        <f t="shared" si="52"/>
        <v>3101910036310127739133019399773303440037330233295833013500003301146514310131759033012740390000000000</v>
      </c>
      <c r="J370" s="361" t="str">
        <f t="shared" si="52"/>
        <v>3101907715310127797933019366863303440013330233368333013500003301146825310130960133012746360000000000</v>
      </c>
      <c r="K370" s="362" t="str">
        <f t="shared" si="52"/>
        <v>3101907715310128272733019366863303440013330233938233013500003301149332310130960133012793260000000000</v>
      </c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 s="1">
        <f>IF(AD367&gt;$B$229-2,AD367,AD367+1)</f>
        <v>3</v>
      </c>
      <c r="AE370" s="115"/>
      <c r="AF370" s="117">
        <f>INDEX(AF$358:AF$365,AD370,1)-AC$367*INDEX(B$247:H$247,1,AD370)</f>
        <v>10.16</v>
      </c>
      <c r="AG370" s="115"/>
      <c r="AH370" s="15"/>
      <c r="AI370" s="115"/>
      <c r="AJ370" s="115"/>
      <c r="AK370" s="115"/>
      <c r="AL370" s="115"/>
      <c r="AM370" s="115"/>
      <c r="AN370" s="115"/>
      <c r="AO370" s="115"/>
      <c r="AP370" s="115"/>
      <c r="AQ370" s="127">
        <f>IF(AD370&lt;=$B$229,INDEX($B$243:$H$243,1,AD370))</f>
        <v>-200</v>
      </c>
      <c r="AR370"/>
      <c r="AS370"/>
      <c r="AT370"/>
      <c r="AU370"/>
      <c r="AV370"/>
      <c r="AW370"/>
      <c r="AX370"/>
      <c r="AY370"/>
      <c r="AZ370"/>
      <c r="BA370"/>
      <c r="BB370"/>
      <c r="BC370"/>
      <c r="BD370"/>
    </row>
    <row r="371" spans="1:56" ht="12">
      <c r="A371">
        <v>36</v>
      </c>
      <c r="B371" s="271">
        <f t="shared" si="56"/>
        <v>543.2774473840667</v>
      </c>
      <c r="C371" s="299">
        <f t="shared" si="49"/>
        <v>34.4077</v>
      </c>
      <c r="D371" s="299">
        <f t="shared" si="50"/>
        <v>34.719500000000004</v>
      </c>
      <c r="E371" s="299">
        <f t="shared" si="51"/>
        <v>34.762100000000004</v>
      </c>
      <c r="F371"/>
      <c r="G371"/>
      <c r="H371"/>
      <c r="I371" s="361" t="str">
        <f t="shared" si="52"/>
        <v>3101881222310127850433018991323303439740330234407733013500003301151305310124054533012831910000000000</v>
      </c>
      <c r="J371" s="361" t="str">
        <f t="shared" si="52"/>
        <v>3101860091310128088833018691803303439522330234719533013500003301152600310120421533012857570000000000</v>
      </c>
      <c r="K371" s="362" t="str">
        <f t="shared" si="52"/>
        <v>3101875401310128133433018908813303439680330234762133013500003301152842310122930733012861080000000000</v>
      </c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E371" s="115"/>
      <c r="AF371" s="117">
        <f>AF370+2*AC$367*INDEX(B$247:H$247,1,AD370)</f>
        <v>11.440000000000001</v>
      </c>
      <c r="AG371" s="115"/>
      <c r="AH371" s="15"/>
      <c r="AI371" s="115"/>
      <c r="AJ371" s="115"/>
      <c r="AK371" s="115"/>
      <c r="AL371" s="115"/>
      <c r="AM371" s="115"/>
      <c r="AN371" s="115"/>
      <c r="AO371" s="115"/>
      <c r="AP371" s="115"/>
      <c r="AQ371" s="116">
        <f>AQ370</f>
        <v>-200</v>
      </c>
      <c r="AR371"/>
      <c r="AS371"/>
      <c r="AT371"/>
      <c r="AU371"/>
      <c r="AV371"/>
      <c r="AW371"/>
      <c r="AX371"/>
      <c r="AY371"/>
      <c r="AZ371"/>
      <c r="BA371"/>
      <c r="BB371"/>
      <c r="BC371"/>
      <c r="BD371"/>
    </row>
    <row r="372" spans="1:56" ht="12">
      <c r="A372">
        <v>37</v>
      </c>
      <c r="B372" s="271">
        <f t="shared" si="56"/>
        <v>558.3684875891797</v>
      </c>
      <c r="C372" s="299">
        <f t="shared" si="49"/>
        <v>35.5197</v>
      </c>
      <c r="D372" s="299">
        <f t="shared" si="50"/>
        <v>35.9024</v>
      </c>
      <c r="E372" s="299">
        <f t="shared" si="51"/>
        <v>35.8406</v>
      </c>
      <c r="F372"/>
      <c r="G372"/>
      <c r="H372"/>
      <c r="I372" s="361" t="str">
        <f t="shared" si="52"/>
        <v>3101854176310127955633018607943303439461330235519733013500003301156095310119593133012923430000000000</v>
      </c>
      <c r="J372" s="361" t="str">
        <f t="shared" si="52"/>
        <v>3101817216310128232433018084033303439080330235902433013500003301157640310115631233012954930000000000</v>
      </c>
      <c r="K372" s="362" t="str">
        <f t="shared" si="52"/>
        <v>3101831024310128192933018279773303439223330235840633013500003301157420310116908633012949840000000000</v>
      </c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E372" s="115"/>
      <c r="AF372" s="117"/>
      <c r="AG372" s="115"/>
      <c r="AH372" s="15"/>
      <c r="AI372" s="115"/>
      <c r="AJ372" s="115"/>
      <c r="AK372" s="115"/>
      <c r="AL372" s="115"/>
      <c r="AM372" s="115"/>
      <c r="AN372" s="115"/>
      <c r="AO372" s="115"/>
      <c r="AP372" s="115"/>
      <c r="AQ372" s="116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</row>
    <row r="373" spans="1:56" ht="12">
      <c r="A373">
        <v>38</v>
      </c>
      <c r="B373" s="271">
        <f t="shared" si="56"/>
        <v>573.4595277942927</v>
      </c>
      <c r="C373" s="299">
        <f t="shared" si="49"/>
        <v>36.6317</v>
      </c>
      <c r="D373" s="299">
        <f t="shared" si="50"/>
        <v>36.9549</v>
      </c>
      <c r="E373" s="299">
        <f t="shared" si="51"/>
        <v>37.074600000000004</v>
      </c>
      <c r="F373"/>
      <c r="G373"/>
      <c r="H373"/>
      <c r="I373" s="361" t="str">
        <f t="shared" si="52"/>
        <v>3101828740310128055433018247403303439199330236631733013500003301160886310116683133013014960000000000</v>
      </c>
      <c r="J373" s="361" t="str">
        <f t="shared" si="52"/>
        <v>3101778412310128269533017533993303438680330236954933013500003301162114310112893933013041550000000000</v>
      </c>
      <c r="K373" s="362" t="str">
        <f t="shared" si="52"/>
        <v>3101778412310128361133017533993303438680330237074633013500003301162639310112893933013051410000000000</v>
      </c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 s="1">
        <f>IF(AD370&gt;$B$229-2,AD370,AD370+1)</f>
        <v>3</v>
      </c>
      <c r="AE373" s="115"/>
      <c r="AF373" s="117">
        <f>INDEX(AF$358:AF$365,AD373,1)-AC$367*INDEX(B$247:H$247,1,AD373)</f>
        <v>10.16</v>
      </c>
      <c r="AG373" s="115"/>
      <c r="AH373" s="15"/>
      <c r="AI373" s="115"/>
      <c r="AJ373" s="115"/>
      <c r="AK373" s="115"/>
      <c r="AL373" s="115"/>
      <c r="AM373" s="115"/>
      <c r="AN373" s="115"/>
      <c r="AO373" s="115"/>
      <c r="AP373" s="115"/>
      <c r="AQ373" s="127">
        <f>IF(AD373&lt;=$B$229,INDEX($B$243:$H$243,1,AD373))</f>
        <v>-200</v>
      </c>
      <c r="AR373"/>
      <c r="AS373"/>
      <c r="AT373"/>
      <c r="AU373"/>
      <c r="AV373"/>
      <c r="AW373"/>
      <c r="AX373"/>
      <c r="AY373"/>
      <c r="AZ373"/>
      <c r="BA373"/>
      <c r="BB373"/>
      <c r="BC373"/>
      <c r="BD373"/>
    </row>
    <row r="374" spans="1:56" ht="12">
      <c r="A374">
        <v>39</v>
      </c>
      <c r="B374" s="271">
        <f t="shared" si="56"/>
        <v>588.5505679994058</v>
      </c>
      <c r="C374" s="299">
        <f t="shared" si="49"/>
        <v>37.7438</v>
      </c>
      <c r="D374" s="299">
        <f t="shared" si="50"/>
        <v>38.2036</v>
      </c>
      <c r="E374" s="299">
        <f t="shared" si="51"/>
        <v>38.4076</v>
      </c>
      <c r="F374"/>
      <c r="G374"/>
      <c r="H374"/>
      <c r="I374" s="361" t="str">
        <f t="shared" si="52"/>
        <v>3101804776310128150033017907703303438952330237743833013500003301165677310114635233013106480000000000</v>
      </c>
      <c r="J374" s="361" t="str">
        <f t="shared" si="52"/>
        <v>3101732064310128444333016877013303438203330238203633013500003301167409310110663533013144320000000000</v>
      </c>
      <c r="K374" s="362" t="str">
        <f t="shared" si="52"/>
        <v>3101721327310128589033016724813303438092330238407633013500003301168260310110252633013161120000000000</v>
      </c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E374" s="115"/>
      <c r="AF374" s="117">
        <f>AF373+2*AC$367*INDEX(B$247:H$247,1,AD373)</f>
        <v>11.440000000000001</v>
      </c>
      <c r="AG374" s="115"/>
      <c r="AH374" s="15"/>
      <c r="AI374" s="115"/>
      <c r="AJ374" s="115"/>
      <c r="AK374" s="115"/>
      <c r="AL374" s="115"/>
      <c r="AM374" s="115"/>
      <c r="AN374" s="115"/>
      <c r="AO374" s="115"/>
      <c r="AP374" s="115"/>
      <c r="AQ374" s="116">
        <f>AQ373</f>
        <v>-200</v>
      </c>
      <c r="AR374"/>
      <c r="AS374"/>
      <c r="AT374"/>
      <c r="AU374"/>
      <c r="AV374"/>
      <c r="AW374"/>
      <c r="AX374"/>
      <c r="AY374"/>
      <c r="AZ374"/>
      <c r="BA374"/>
      <c r="BB374"/>
      <c r="BC374"/>
      <c r="BD374"/>
    </row>
    <row r="375" spans="1:56" ht="12">
      <c r="A375">
        <v>40</v>
      </c>
      <c r="B375" s="271">
        <f t="shared" si="56"/>
        <v>603.6416082045187</v>
      </c>
      <c r="C375" s="299">
        <f t="shared" si="49"/>
        <v>38.9337</v>
      </c>
      <c r="D375" s="299">
        <f t="shared" si="50"/>
        <v>39.3204</v>
      </c>
      <c r="E375" s="299">
        <f t="shared" si="51"/>
        <v>39.5966</v>
      </c>
      <c r="F375"/>
      <c r="G375"/>
      <c r="H375"/>
      <c r="I375" s="361" t="str">
        <f aca="true" t="shared" si="57" ref="I375:K385">facd($B375,$C$312,$C$313,$C$314,$C$315,$C$316,$M$312,$M$313,$M$314,$M$315,$M$316,$M$317,$M$318,$M$324,$M$326,$M$325,I$334)</f>
        <v>3101741041310128488233017004263303438295330238933733013500003301170644310111033133013204420000000000</v>
      </c>
      <c r="J375" s="361" t="str">
        <f t="shared" si="57"/>
        <v>3101690925310128516333016293873303437778330239320433013500003301172136330110817533013236240000000000</v>
      </c>
      <c r="K375" s="362" t="str">
        <f t="shared" si="57"/>
        <v>3101672043310128703933016026203303437584330239596633013500003301173268330111478433013258980000000000</v>
      </c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E375" s="115"/>
      <c r="AF375" s="117"/>
      <c r="AG375" s="115"/>
      <c r="AH375" s="15"/>
      <c r="AI375" s="115"/>
      <c r="AJ375" s="115"/>
      <c r="AK375" s="115"/>
      <c r="AL375" s="115"/>
      <c r="AM375" s="115"/>
      <c r="AN375" s="115"/>
      <c r="AO375" s="115"/>
      <c r="AP375" s="115"/>
      <c r="AQ375" s="116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</row>
    <row r="376" spans="1:56" ht="12">
      <c r="A376">
        <v>41</v>
      </c>
      <c r="B376" s="271">
        <f t="shared" si="56"/>
        <v>618.7326484096316</v>
      </c>
      <c r="C376" s="299">
        <f t="shared" si="49"/>
        <v>40.1745</v>
      </c>
      <c r="D376" s="299">
        <f t="shared" si="50"/>
        <v>40.3408</v>
      </c>
      <c r="E376" s="299">
        <f t="shared" si="51"/>
        <v>40.9087</v>
      </c>
      <c r="F376"/>
      <c r="G376"/>
      <c r="H376"/>
      <c r="I376" s="361" t="str">
        <f t="shared" si="57"/>
        <v>3101676263310128914133016086043303437627330240174533013500003301175815330111330733013306550000000000</v>
      </c>
      <c r="J376" s="361" t="str">
        <f t="shared" si="57"/>
        <v>3101654164310128518133015772783303437399330240340833013500003301176451330112104233013320230000000000</v>
      </c>
      <c r="K376" s="362" t="str">
        <f t="shared" si="57"/>
        <v>3101621118310128897033015304343303437059330240908733013500003301178795330113260833013366970000000000</v>
      </c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 s="1">
        <f>IF(AD373&gt;$B$229-2,AD373,AD373+1)</f>
        <v>3</v>
      </c>
      <c r="AE376" s="115"/>
      <c r="AF376" s="117">
        <f>INDEX(AF$358:AF$365,AD376,1)-AC$367*INDEX(B$247:H$247,1,AD376)</f>
        <v>10.16</v>
      </c>
      <c r="AG376" s="115"/>
      <c r="AH376" s="15"/>
      <c r="AI376" s="115"/>
      <c r="AJ376" s="115"/>
      <c r="AK376" s="115"/>
      <c r="AL376" s="115"/>
      <c r="AM376" s="115"/>
      <c r="AN376" s="115"/>
      <c r="AO376" s="115"/>
      <c r="AP376" s="115"/>
      <c r="AQ376" s="127">
        <f>IF(AD376&lt;=$B$229,INDEX($B$243:$H$243,1,AD376))</f>
        <v>-200</v>
      </c>
      <c r="AR376"/>
      <c r="AS376"/>
      <c r="AT376"/>
      <c r="AU376"/>
      <c r="AV376"/>
      <c r="AW376"/>
      <c r="AX376"/>
      <c r="AY376"/>
      <c r="AZ376"/>
      <c r="BA376"/>
      <c r="BB376"/>
      <c r="BC376"/>
      <c r="BD376"/>
    </row>
    <row r="377" spans="1:56" ht="12">
      <c r="A377">
        <v>42</v>
      </c>
      <c r="B377" s="271">
        <f t="shared" si="56"/>
        <v>633.8236886147445</v>
      </c>
      <c r="C377" s="299">
        <f t="shared" si="49"/>
        <v>41.455200000000005</v>
      </c>
      <c r="D377" s="299">
        <f t="shared" si="50"/>
        <v>41.745000000000005</v>
      </c>
      <c r="E377" s="299">
        <f t="shared" si="51"/>
        <v>42.3455</v>
      </c>
      <c r="F377"/>
      <c r="G377"/>
      <c r="H377"/>
      <c r="I377" s="361" t="str">
        <f t="shared" si="57"/>
        <v>3101620034310129369633015288993303437048330241455233013500003301181179330113298733013411950000000000</v>
      </c>
      <c r="J377" s="361" t="str">
        <f t="shared" si="57"/>
        <v>3101605815310128775333015087433303436901330241745033013500003301182384330113796433013435800000000000</v>
      </c>
      <c r="K377" s="362" t="str">
        <f t="shared" si="57"/>
        <v>3101570667310129165033014589213303436539330242345533013500003301184855330115026633013485230000000000</v>
      </c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E377" s="115"/>
      <c r="AF377" s="117">
        <f>AF376+2*AC$367*INDEX(B$247:H$247,1,AD376)</f>
        <v>11.440000000000001</v>
      </c>
      <c r="AG377" s="115"/>
      <c r="AH377" s="15"/>
      <c r="AI377" s="115"/>
      <c r="AJ377" s="115"/>
      <c r="AK377" s="115"/>
      <c r="AL377" s="115"/>
      <c r="AM377" s="115"/>
      <c r="AN377" s="115"/>
      <c r="AO377" s="115"/>
      <c r="AP377" s="115"/>
      <c r="AQ377" s="116">
        <f>AQ376</f>
        <v>-200</v>
      </c>
      <c r="AR377"/>
      <c r="AS377"/>
      <c r="AT377"/>
      <c r="AU377"/>
      <c r="AV377"/>
      <c r="AW377"/>
      <c r="AX377"/>
      <c r="AY377"/>
      <c r="AZ377"/>
      <c r="BA377"/>
      <c r="BB377"/>
      <c r="BC377"/>
      <c r="BD377"/>
    </row>
    <row r="378" spans="1:56" ht="12">
      <c r="A378">
        <v>43</v>
      </c>
      <c r="B378" s="271">
        <f t="shared" si="56"/>
        <v>648.9147288198576</v>
      </c>
      <c r="C378" s="299">
        <f t="shared" si="49"/>
        <v>42.782000000000004</v>
      </c>
      <c r="D378" s="299">
        <f t="shared" si="50"/>
        <v>43.0478</v>
      </c>
      <c r="E378" s="299">
        <f t="shared" si="51"/>
        <v>43.7242</v>
      </c>
      <c r="F378"/>
      <c r="G378"/>
      <c r="H378"/>
      <c r="I378" s="361" t="str">
        <f t="shared" si="57"/>
        <v>3101570665310129859033014589173303436539330242782033013500003301186760330115026733013521150000000000</v>
      </c>
      <c r="J378" s="361" t="str">
        <f t="shared" si="57"/>
        <v>3101564121310128954733014496423303436471330243047833013500003301187891330115255733013543030000000000</v>
      </c>
      <c r="K378" s="362" t="str">
        <f t="shared" si="57"/>
        <v>3101527797310129384433013981523303436097330243724233013500003301190680330116527033013598700000000000</v>
      </c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E378" s="115"/>
      <c r="AF378" s="117"/>
      <c r="AG378" s="115"/>
      <c r="AH378" s="15"/>
      <c r="AI378" s="115"/>
      <c r="AJ378" s="115"/>
      <c r="AK378" s="115"/>
      <c r="AL378" s="115"/>
      <c r="AM378" s="115"/>
      <c r="AN378" s="115"/>
      <c r="AO378" s="115"/>
      <c r="AP378" s="115"/>
      <c r="AQ378" s="116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</row>
    <row r="379" spans="1:56" ht="12">
      <c r="A379">
        <v>44</v>
      </c>
      <c r="B379" s="271">
        <f t="shared" si="56"/>
        <v>664.0057690249705</v>
      </c>
      <c r="C379" s="299">
        <f t="shared" si="49"/>
        <v>44.1625</v>
      </c>
      <c r="D379" s="299">
        <f t="shared" si="50"/>
        <v>44.4894</v>
      </c>
      <c r="E379" s="299">
        <f t="shared" si="51"/>
        <v>45.260200000000005</v>
      </c>
      <c r="F379"/>
      <c r="G379"/>
      <c r="H379"/>
      <c r="I379" s="361" t="str">
        <f t="shared" si="57"/>
        <v>3101526866310130387833013968323303436087330244162533013500003301192587330116559633013634770000000000</v>
      </c>
      <c r="J379" s="361" t="str">
        <f t="shared" si="57"/>
        <v>3101522193310129215333013902083303436039330244489433013500003301193991330116723233013661680000000000</v>
      </c>
      <c r="K379" s="362" t="str">
        <f t="shared" si="57"/>
        <v>3101486066310129696133013389983303435667330245260233013500003301197183330117987633013725120000000000</v>
      </c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 s="1">
        <f>IF(AD376&gt;$B$229-2,AD376,AD376+1)</f>
        <v>3</v>
      </c>
      <c r="AE379" s="115"/>
      <c r="AF379" s="117">
        <f>INDEX(AF$358:AF$365,AD379,1)-AC$367*INDEX(B$247:H$247,1,AD379)</f>
        <v>10.16</v>
      </c>
      <c r="AG379" s="115"/>
      <c r="AH379" s="15"/>
      <c r="AI379" s="115"/>
      <c r="AJ379" s="115"/>
      <c r="AK379" s="115"/>
      <c r="AL379" s="115"/>
      <c r="AM379" s="115"/>
      <c r="AN379" s="115"/>
      <c r="AO379" s="115"/>
      <c r="AP379" s="115"/>
      <c r="AQ379" s="127">
        <f>IF(AD379&lt;=$B$229,INDEX($B$243:$H$243,1,AD379))</f>
        <v>-200</v>
      </c>
      <c r="AR379"/>
      <c r="AS379"/>
      <c r="AT379"/>
      <c r="AU379"/>
      <c r="AV379"/>
      <c r="AW379"/>
      <c r="AX379"/>
      <c r="AY379"/>
      <c r="AZ379"/>
      <c r="BA379"/>
      <c r="BB379"/>
      <c r="BC379"/>
      <c r="BD379"/>
    </row>
    <row r="380" spans="1:56" ht="12">
      <c r="A380">
        <v>45</v>
      </c>
      <c r="B380" s="271">
        <f t="shared" si="56"/>
        <v>679.0968092300835</v>
      </c>
      <c r="C380" s="299">
        <f t="shared" si="49"/>
        <v>45.6055</v>
      </c>
      <c r="D380" s="299">
        <f t="shared" si="50"/>
        <v>45.882000000000005</v>
      </c>
      <c r="E380" s="299">
        <f t="shared" si="51"/>
        <v>46.9615</v>
      </c>
      <c r="F380"/>
      <c r="G380"/>
      <c r="H380"/>
      <c r="I380" s="361" t="str">
        <f t="shared" si="57"/>
        <v>3101487631310130962533013412183303435683330245605533013500003301198695330117932833013753540000000000</v>
      </c>
      <c r="J380" s="361" t="str">
        <f t="shared" si="57"/>
        <v>3101486066310129435133013389983303435667330245882033013500003301199893330117987633013776300000000000</v>
      </c>
      <c r="K380" s="362" t="str">
        <f t="shared" si="57"/>
        <v>3101446362310130099333012827183303435257330246961533013500003301204403330119377333013865140000000000</v>
      </c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E380" s="115"/>
      <c r="AF380" s="117">
        <f>AF379+2*AC$367*INDEX(B$247:H$247,1,AD379)</f>
        <v>11.440000000000001</v>
      </c>
      <c r="AG380" s="115"/>
      <c r="AH380" s="15"/>
      <c r="AI380" s="115"/>
      <c r="AJ380" s="115"/>
      <c r="AK380" s="115"/>
      <c r="AL380" s="115"/>
      <c r="AM380" s="115"/>
      <c r="AN380" s="115"/>
      <c r="AO380" s="115"/>
      <c r="AP380" s="115"/>
      <c r="AQ380" s="116">
        <f>AQ379</f>
        <v>-200</v>
      </c>
      <c r="AR380"/>
      <c r="AS380"/>
      <c r="AT380"/>
      <c r="AU380"/>
      <c r="AV380"/>
      <c r="AW380"/>
      <c r="AX380"/>
      <c r="AY380"/>
      <c r="AZ380"/>
      <c r="BA380"/>
      <c r="BB380"/>
      <c r="BC380"/>
      <c r="BD380"/>
    </row>
    <row r="381" spans="1:56" ht="12">
      <c r="A381">
        <v>46</v>
      </c>
      <c r="B381" s="271">
        <f t="shared" si="56"/>
        <v>694.1878494351964</v>
      </c>
      <c r="C381" s="299">
        <f t="shared" si="49"/>
        <v>47.1221</v>
      </c>
      <c r="D381" s="299">
        <f t="shared" si="50"/>
        <v>47.4433</v>
      </c>
      <c r="E381" s="299">
        <f t="shared" si="51"/>
        <v>48.8365</v>
      </c>
      <c r="F381"/>
      <c r="G381"/>
      <c r="H381"/>
      <c r="I381" s="361" t="str">
        <f t="shared" si="57"/>
        <v>3101452159310131592033012909363303435317330247122133013500003301205131330119174433013878360000000000</v>
      </c>
      <c r="J381" s="361" t="str">
        <f t="shared" si="57"/>
        <v>3101450450310129750033012885133303435299330247443333013500003301206521330119234233013904800000000000</v>
      </c>
      <c r="K381" s="362" t="str">
        <f t="shared" si="57"/>
        <v>3101409221310130593733012300703303434874330248836533013500003301212377330120677233014019460000000000</v>
      </c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E381" s="115"/>
      <c r="AF381" s="117"/>
      <c r="AG381" s="115"/>
      <c r="AH381" s="115"/>
      <c r="AI381" s="115"/>
      <c r="AJ381" s="115"/>
      <c r="AK381" s="115"/>
      <c r="AL381" s="115"/>
      <c r="AM381" s="115"/>
      <c r="AN381" s="115"/>
      <c r="AO381" s="115"/>
      <c r="AP381" s="115"/>
      <c r="AQ381" s="116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</row>
    <row r="382" spans="1:56" ht="12">
      <c r="A382">
        <v>47</v>
      </c>
      <c r="B382" s="271">
        <f t="shared" si="56"/>
        <v>709.2788896403094</v>
      </c>
      <c r="C382" s="299">
        <f t="shared" si="49"/>
        <v>48.7263</v>
      </c>
      <c r="D382" s="299">
        <f t="shared" si="50"/>
        <v>49.1856</v>
      </c>
      <c r="E382" s="299">
        <f t="shared" si="51"/>
        <v>62.5495</v>
      </c>
      <c r="F382"/>
      <c r="G382"/>
      <c r="H382"/>
      <c r="I382" s="361" t="str">
        <f t="shared" si="57"/>
        <v>3101419792310132287733012450563303434983330248726333013500003301211951330120307233014010400000000000</v>
      </c>
      <c r="J382" s="361" t="str">
        <f t="shared" si="57"/>
        <v>3101416146310130161733012398873303434946330249185633013500003301213930330120434833014048190000000000</v>
      </c>
      <c r="K382" s="362" t="str">
        <f t="shared" si="57"/>
        <v>3101372069310131290533011774093303354818330262549533013500003301221937330121977533015148110000000000</v>
      </c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 s="1">
        <f>IF(AD379&gt;$B$229-2,AD379,AD379+1)</f>
        <v>3</v>
      </c>
      <c r="AE382" s="115"/>
      <c r="AF382" s="117">
        <f>INDEX(AF$358:AF$365,AD382,1)-AC$367*INDEX(B$247:H$247,1,AD382)</f>
        <v>10.16</v>
      </c>
      <c r="AG382" s="115"/>
      <c r="AH382" s="115"/>
      <c r="AI382" s="115"/>
      <c r="AJ382" s="115"/>
      <c r="AK382" s="115"/>
      <c r="AL382" s="115"/>
      <c r="AM382" s="115"/>
      <c r="AN382" s="115"/>
      <c r="AO382" s="115"/>
      <c r="AP382" s="115"/>
      <c r="AQ382" s="116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</row>
    <row r="383" spans="1:56" ht="12">
      <c r="A383">
        <v>48</v>
      </c>
      <c r="B383" s="271">
        <f t="shared" si="56"/>
        <v>724.3699298454223</v>
      </c>
      <c r="C383" s="299">
        <f t="shared" si="49"/>
        <v>54.0549</v>
      </c>
      <c r="D383" s="299">
        <f t="shared" si="50"/>
        <v>55.8528</v>
      </c>
      <c r="E383" s="299">
        <f t="shared" si="51"/>
        <v>86.7018</v>
      </c>
      <c r="F383"/>
      <c r="G383"/>
      <c r="H383"/>
      <c r="I383" s="361" t="str">
        <f t="shared" si="57"/>
        <v>3101389976310133065533012027913303405582330254054933013500003301219237330121350833014448960000000000</v>
      </c>
      <c r="J383" s="361" t="str">
        <f t="shared" si="57"/>
        <v>3101386697310130555933011981433303396287330255852833013500003301221338330121465533014596940000000000</v>
      </c>
      <c r="K383" s="362" t="str">
        <f t="shared" si="57"/>
        <v>3101341102310131961133011335133303267026330286701833013500003301231517330123061333017135950000000000</v>
      </c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E383" s="115"/>
      <c r="AF383" s="128">
        <f>AF382+2*AC$367*INDEX(B$247:H$247,1,AD382)</f>
        <v>11.440000000000001</v>
      </c>
      <c r="AG383" s="118"/>
      <c r="AH383" s="118"/>
      <c r="AI383" s="118"/>
      <c r="AJ383" s="118"/>
      <c r="AK383" s="118"/>
      <c r="AL383" s="118"/>
      <c r="AM383" s="118"/>
      <c r="AN383" s="118"/>
      <c r="AO383" s="118"/>
      <c r="AP383" s="118"/>
      <c r="AQ383" s="129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</row>
    <row r="384" spans="1:56" ht="12">
      <c r="A384">
        <v>49</v>
      </c>
      <c r="B384" s="271">
        <f t="shared" si="56"/>
        <v>739.4609700505354</v>
      </c>
      <c r="C384" s="299">
        <f t="shared" si="49"/>
        <v>69.47160000000001</v>
      </c>
      <c r="D384" s="299">
        <f t="shared" si="50"/>
        <v>72.5627</v>
      </c>
      <c r="E384" s="299">
        <f t="shared" si="51"/>
        <v>143.366</v>
      </c>
      <c r="F384"/>
      <c r="G384"/>
      <c r="H384"/>
      <c r="I384" s="361" t="str">
        <f t="shared" si="57"/>
        <v>3101362219310133947833011634453303326891330269471633013500003301227097330122322333015717830000000000</v>
      </c>
      <c r="J384" s="361" t="str">
        <f t="shared" si="57"/>
        <v>3101358508310131045333011581853303316371330272562733013500003301229568330122452133015972240000000000</v>
      </c>
      <c r="K384" s="362" t="str">
        <f t="shared" si="57"/>
        <v>3101307031310133043431011173483303170432330314336633013500003301244343330124253933021179960000000000</v>
      </c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E384" s="115"/>
      <c r="AF384" s="115"/>
      <c r="AG384" s="115"/>
      <c r="AH384" s="115"/>
      <c r="AI384" s="115"/>
      <c r="AJ384" s="115"/>
      <c r="AK384" s="115"/>
      <c r="AL384" s="115"/>
      <c r="AM384" s="115"/>
      <c r="AN384" s="115"/>
      <c r="AO384" s="115"/>
      <c r="AP384" s="115"/>
      <c r="AQ384" s="115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</row>
    <row r="385" spans="1:56" ht="12">
      <c r="A385">
        <v>50</v>
      </c>
      <c r="B385" s="294">
        <f t="shared" si="56"/>
        <v>754.5520102556483</v>
      </c>
      <c r="C385" s="397">
        <f t="shared" si="49"/>
        <v>93.26140000000001</v>
      </c>
      <c r="D385" s="397">
        <f t="shared" si="50"/>
        <v>99.04480000000001</v>
      </c>
      <c r="E385" s="397">
        <f t="shared" si="51"/>
        <v>352.867</v>
      </c>
      <c r="F385"/>
      <c r="G385"/>
      <c r="H385"/>
      <c r="I385" s="361" t="str">
        <f t="shared" si="57"/>
        <v>3101336057310134968333011263613303252723330293261433013500003301235693330123237933017675830000000000</v>
      </c>
      <c r="J385" s="361" t="str">
        <f t="shared" si="57"/>
        <v>3101331895310131624233011204613303240922330299044833013500003301238621330123383633018151830000000000</v>
      </c>
      <c r="K385" s="362" t="str">
        <f t="shared" si="57"/>
        <v>3101272950310134519631012709473302738149330335286733013500003301260469330125446733022904260000000000</v>
      </c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 s="115"/>
      <c r="AE385" s="115"/>
      <c r="AF385" s="115"/>
      <c r="AG385" s="115"/>
      <c r="AH385" s="115"/>
      <c r="AI385" s="115"/>
      <c r="AJ385" s="115"/>
      <c r="AK385" s="115"/>
      <c r="AL385" s="115"/>
      <c r="AM385" s="115"/>
      <c r="AN385" s="115"/>
      <c r="AO385" s="115"/>
      <c r="AP385" s="115"/>
      <c r="AQ385" s="11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</row>
    <row r="386" spans="1:56" ht="12">
      <c r="A386"/>
      <c r="B386"/>
      <c r="C386"/>
      <c r="D386"/>
      <c r="E386"/>
      <c r="F386"/>
      <c r="G386"/>
      <c r="H386"/>
      <c r="I386" s="297" t="str">
        <f>facd($B388,$C$312,$C$313,$C$314,$C$315,$C$316,$M$312,$M$313,$M$314,$M$315,$M$316,$M$317,$M$318,$M$324,$M$326,$M$325,I$334)</f>
        <v>0000000000310124691333024500003303465928000000000000000000000000000000000000000000000000000000000000</v>
      </c>
      <c r="J386" s="297" t="str">
        <f>facd($B388,$C$312,$C$313,$C$314,$C$315,$C$316,$M$312,$M$313,$M$314,$M$315,$M$316,$M$317,$M$318,$M$324,$M$326,$M$325,J$334)</f>
        <v>0000000000310124691333024500003303465928000000000000000000000000000000000000000000000000000000000000</v>
      </c>
      <c r="K386" s="298" t="str">
        <f>facd($B388,$C$312,$C$313,$C$314,$C$315,$C$316,$M$312,$M$313,$M$314,$M$315,$M$316,$M$317,$M$318,$M$324,$M$326,$M$325,K$334)</f>
        <v>0000000000310124691333024500003303465928000000000000000000000000000000000000000000000000000000000000</v>
      </c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 s="115"/>
      <c r="AE386" s="115"/>
      <c r="AF386" s="115"/>
      <c r="AG386" s="115"/>
      <c r="AH386" s="115"/>
      <c r="AI386" s="115"/>
      <c r="AJ386" s="115"/>
      <c r="AK386" s="115"/>
      <c r="AL386" s="115"/>
      <c r="AM386" s="115"/>
      <c r="AN386" s="115"/>
      <c r="AO386" s="115"/>
      <c r="AP386" s="115"/>
      <c r="AQ386" s="115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</row>
    <row r="387" spans="1:56" ht="1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 s="115"/>
      <c r="AE387" s="115"/>
      <c r="AF387" s="115"/>
      <c r="AG387" s="115"/>
      <c r="AH387" s="115"/>
      <c r="AI387" s="115"/>
      <c r="AJ387" s="115"/>
      <c r="AK387" s="115"/>
      <c r="AL387" s="115"/>
      <c r="AM387" s="115"/>
      <c r="AN387" s="115"/>
      <c r="AO387" s="115"/>
      <c r="AP387" s="115"/>
      <c r="AQ387" s="115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</row>
    <row r="388" spans="1:56" ht="12">
      <c r="A388"/>
      <c r="B388"/>
      <c r="C388"/>
      <c r="D388"/>
      <c r="E388"/>
      <c r="F388"/>
      <c r="G388"/>
      <c r="H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 s="115"/>
      <c r="AE388" s="115"/>
      <c r="AF388" s="115"/>
      <c r="AG388" s="115"/>
      <c r="AH388" s="115"/>
      <c r="AI388" s="115"/>
      <c r="AJ388" s="115"/>
      <c r="AK388" s="115"/>
      <c r="AL388" s="115"/>
      <c r="AM388" s="115"/>
      <c r="AN388" s="115"/>
      <c r="AO388" s="115"/>
      <c r="AP388" s="115"/>
      <c r="AQ388" s="115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</row>
    <row r="389" spans="1:56" ht="1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 s="115"/>
      <c r="AE389" s="115"/>
      <c r="AF389" s="115"/>
      <c r="AG389" s="115"/>
      <c r="AH389" s="115"/>
      <c r="AI389" s="115"/>
      <c r="AJ389" s="115"/>
      <c r="AK389" s="115"/>
      <c r="AL389" s="115"/>
      <c r="AM389" s="115"/>
      <c r="AN389" s="115"/>
      <c r="AO389" s="115"/>
      <c r="AP389" s="115"/>
      <c r="AQ389" s="115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</row>
    <row r="390" spans="1:56" ht="1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 s="115"/>
      <c r="AE390" s="115"/>
      <c r="AF390" s="115"/>
      <c r="AG390" s="115"/>
      <c r="AH390" s="115"/>
      <c r="AI390" s="115"/>
      <c r="AJ390" s="115"/>
      <c r="AK390" s="115"/>
      <c r="AL390" s="115"/>
      <c r="AM390" s="115"/>
      <c r="AN390" s="115"/>
      <c r="AO390" s="115"/>
      <c r="AP390" s="115"/>
      <c r="AQ390" s="115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</row>
    <row r="391" spans="1:56" ht="1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 s="115"/>
      <c r="AE391" s="115"/>
      <c r="AF391" s="115"/>
      <c r="AG391" s="115"/>
      <c r="AH391" s="115"/>
      <c r="AI391" s="115"/>
      <c r="AJ391" s="115"/>
      <c r="AK391" s="115"/>
      <c r="AL391" s="115"/>
      <c r="AM391" s="115"/>
      <c r="AN391" s="115"/>
      <c r="AO391" s="115"/>
      <c r="AP391" s="115"/>
      <c r="AQ391" s="115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</row>
    <row r="392" spans="1:56" ht="1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 s="115"/>
      <c r="AE392" s="115"/>
      <c r="AF392" s="115"/>
      <c r="AG392" s="115"/>
      <c r="AH392" s="115"/>
      <c r="AI392" s="115"/>
      <c r="AJ392" s="115"/>
      <c r="AK392" s="115"/>
      <c r="AL392" s="115"/>
      <c r="AM392" s="115"/>
      <c r="AN392" s="115"/>
      <c r="AO392" s="115"/>
      <c r="AP392" s="115"/>
      <c r="AQ392" s="115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</row>
    <row r="393" spans="1:56" ht="1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 s="115"/>
      <c r="AE393" s="115"/>
      <c r="AF393" s="115"/>
      <c r="AG393" s="115"/>
      <c r="AH393" s="115"/>
      <c r="AI393" s="115"/>
      <c r="AJ393" s="115"/>
      <c r="AK393" s="115"/>
      <c r="AL393" s="115"/>
      <c r="AM393" s="115"/>
      <c r="AN393" s="115"/>
      <c r="AO393" s="115"/>
      <c r="AP393" s="115"/>
      <c r="AQ393" s="115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</row>
    <row r="394" spans="1:56" ht="1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 s="115"/>
      <c r="AE394" s="115"/>
      <c r="AF394" s="115"/>
      <c r="AG394" s="115"/>
      <c r="AH394" s="115"/>
      <c r="AI394" s="115"/>
      <c r="AJ394" s="115"/>
      <c r="AK394" s="115"/>
      <c r="AL394" s="115"/>
      <c r="AM394" s="115"/>
      <c r="AN394" s="115"/>
      <c r="AO394" s="115"/>
      <c r="AP394" s="115"/>
      <c r="AQ394" s="115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</row>
    <row r="395" spans="1:56" ht="12">
      <c r="A395" s="146"/>
      <c r="B395" s="146"/>
      <c r="C395" s="146"/>
      <c r="D395" s="146"/>
      <c r="E395" s="146"/>
      <c r="F395" s="146"/>
      <c r="G395" s="146"/>
      <c r="H395" s="146"/>
      <c r="I395" s="146"/>
      <c r="J395" s="146"/>
      <c r="K395" s="146"/>
      <c r="L395" s="146"/>
      <c r="M395" s="146"/>
      <c r="N395" s="146"/>
      <c r="O395" s="146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 s="115"/>
      <c r="AE395" s="115"/>
      <c r="AF395" s="115"/>
      <c r="AG395" s="115"/>
      <c r="AH395" s="115"/>
      <c r="AI395" s="115"/>
      <c r="AJ395" s="115"/>
      <c r="AK395" s="115"/>
      <c r="AL395" s="115"/>
      <c r="AM395" s="115"/>
      <c r="AN395" s="115"/>
      <c r="AO395" s="115"/>
      <c r="AP395" s="115"/>
      <c r="AQ395" s="11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</row>
    <row r="396" spans="1:56" ht="12">
      <c r="A396" s="58" t="s">
        <v>561</v>
      </c>
      <c r="B396" s="56"/>
      <c r="C396" s="31"/>
      <c r="D396" s="31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 s="115"/>
      <c r="AE396" s="115"/>
      <c r="AF396" s="115"/>
      <c r="AG396" s="115"/>
      <c r="AH396" s="115"/>
      <c r="AI396" s="115"/>
      <c r="AJ396" s="115"/>
      <c r="AK396" s="115"/>
      <c r="AL396" s="115"/>
      <c r="AM396" s="115"/>
      <c r="AN396" s="115"/>
      <c r="AO396" s="115"/>
      <c r="AP396" s="115"/>
      <c r="AQ396" s="115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</row>
    <row r="397" spans="1:56" ht="12">
      <c r="A397" s="31" t="s">
        <v>563</v>
      </c>
      <c r="B397" s="56"/>
      <c r="C397" s="31"/>
      <c r="D397" s="31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 s="115"/>
      <c r="AE397" s="115"/>
      <c r="AF397" s="115"/>
      <c r="AG397" s="115"/>
      <c r="AH397" s="115"/>
      <c r="AI397" s="115"/>
      <c r="AJ397" s="115"/>
      <c r="AK397" s="115"/>
      <c r="AL397" s="115"/>
      <c r="AM397" s="115"/>
      <c r="AN397" s="115"/>
      <c r="AO397" s="115"/>
      <c r="AP397" s="115"/>
      <c r="AQ397" s="115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</row>
    <row r="398" spans="1:56" ht="12.75" thickBot="1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 s="115"/>
      <c r="AE398" s="115"/>
      <c r="AF398" s="115"/>
      <c r="AG398" s="115"/>
      <c r="AH398" s="115"/>
      <c r="AI398" s="115"/>
      <c r="AJ398" s="115"/>
      <c r="AK398" s="115"/>
      <c r="AL398" s="115"/>
      <c r="AM398" s="115"/>
      <c r="AN398" s="115"/>
      <c r="AO398" s="115"/>
      <c r="AP398" s="115"/>
      <c r="AQ398" s="115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</row>
    <row r="399" spans="1:56" ht="12.75" thickTop="1">
      <c r="A399" s="2" t="s">
        <v>0</v>
      </c>
      <c r="B399" s="483">
        <v>0.2</v>
      </c>
      <c r="C399" t="s">
        <v>11</v>
      </c>
      <c r="D399" t="s">
        <v>566</v>
      </c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 s="115"/>
      <c r="AE399" s="115"/>
      <c r="AF399" s="115"/>
      <c r="AG399" s="115"/>
      <c r="AH399" s="115"/>
      <c r="AI399" s="115"/>
      <c r="AJ399" s="115"/>
      <c r="AK399" s="115"/>
      <c r="AL399" s="115"/>
      <c r="AM399" s="115"/>
      <c r="AN399" s="115"/>
      <c r="AO399" s="115"/>
      <c r="AP399" s="115"/>
      <c r="AQ399" s="115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</row>
    <row r="400" spans="1:56" ht="12">
      <c r="A400" s="2" t="s">
        <v>25</v>
      </c>
      <c r="B400" s="484">
        <v>6</v>
      </c>
      <c r="C400" t="s">
        <v>11</v>
      </c>
      <c r="D400" t="s">
        <v>567</v>
      </c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 s="115"/>
      <c r="AE400" s="115"/>
      <c r="AF400" s="115"/>
      <c r="AG400" s="115"/>
      <c r="AH400" s="115"/>
      <c r="AI400" s="115"/>
      <c r="AJ400" s="115"/>
      <c r="AK400" s="115"/>
      <c r="AL400" s="115"/>
      <c r="AM400" s="115"/>
      <c r="AN400" s="115"/>
      <c r="AO400" s="115"/>
      <c r="AP400" s="115"/>
      <c r="AQ400" s="115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</row>
    <row r="401" spans="1:56" ht="13.5">
      <c r="A401" s="3" t="s">
        <v>80</v>
      </c>
      <c r="B401" s="484">
        <v>2.5</v>
      </c>
      <c r="C401" s="102" t="s">
        <v>9</v>
      </c>
      <c r="D401" t="s">
        <v>568</v>
      </c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 s="115"/>
      <c r="AE401" s="115"/>
      <c r="AF401" s="115"/>
      <c r="AG401" s="115"/>
      <c r="AH401" s="115"/>
      <c r="AI401" s="115"/>
      <c r="AJ401" s="115"/>
      <c r="AK401" s="115"/>
      <c r="AL401" s="115"/>
      <c r="AM401" s="115"/>
      <c r="AN401" s="115"/>
      <c r="AO401" s="115"/>
      <c r="AP401" s="115"/>
      <c r="AQ401" s="115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</row>
    <row r="402" spans="1:56" ht="13.5">
      <c r="A402" s="3" t="s">
        <v>42</v>
      </c>
      <c r="B402" s="484">
        <v>1.3333</v>
      </c>
      <c r="C402" s="102" t="s">
        <v>9</v>
      </c>
      <c r="D402" t="s">
        <v>569</v>
      </c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 s="115"/>
      <c r="AE402" s="115"/>
      <c r="AF402" s="115"/>
      <c r="AG402" s="115"/>
      <c r="AH402" s="115"/>
      <c r="AI402" s="115"/>
      <c r="AJ402" s="115"/>
      <c r="AK402" s="115"/>
      <c r="AL402" s="115"/>
      <c r="AM402" s="115"/>
      <c r="AN402" s="115"/>
      <c r="AO402" s="115"/>
      <c r="AP402" s="115"/>
      <c r="AQ402" s="115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</row>
    <row r="403" spans="1:56" ht="13.5">
      <c r="A403" s="2" t="s">
        <v>14</v>
      </c>
      <c r="B403" s="484">
        <v>25</v>
      </c>
      <c r="C403" s="102" t="s">
        <v>10</v>
      </c>
      <c r="D403" t="s">
        <v>570</v>
      </c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 s="115"/>
      <c r="AE403" s="115"/>
      <c r="AF403" s="115"/>
      <c r="AG403" s="115"/>
      <c r="AH403" s="115"/>
      <c r="AI403" s="115"/>
      <c r="AJ403" s="115"/>
      <c r="AK403" s="115"/>
      <c r="AL403" s="115"/>
      <c r="AM403" s="115"/>
      <c r="AN403" s="115"/>
      <c r="AO403" s="115"/>
      <c r="AP403" s="115"/>
      <c r="AQ403" s="115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</row>
    <row r="404" spans="1:56" ht="14.25" thickBot="1">
      <c r="A404" s="3" t="s">
        <v>230</v>
      </c>
      <c r="B404" s="486">
        <f>1.5/0.8</f>
        <v>1.875</v>
      </c>
      <c r="C404"/>
      <c r="D404" t="s">
        <v>571</v>
      </c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 s="115"/>
      <c r="AE404" s="115"/>
      <c r="AF404" s="115"/>
      <c r="AG404" s="115"/>
      <c r="AH404" s="115"/>
      <c r="AI404" s="115"/>
      <c r="AJ404" s="115"/>
      <c r="AK404" s="115"/>
      <c r="AL404" s="115"/>
      <c r="AM404" s="115"/>
      <c r="AN404" s="115"/>
      <c r="AO404" s="115"/>
      <c r="AP404" s="115"/>
      <c r="AQ404" s="115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</row>
    <row r="405" spans="3:56" ht="12.75" thickTop="1"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 s="115"/>
      <c r="AE405" s="115"/>
      <c r="AF405" s="115"/>
      <c r="AG405" s="115"/>
      <c r="AH405" s="115"/>
      <c r="AI405" s="115"/>
      <c r="AJ405" s="115"/>
      <c r="AK405" s="115"/>
      <c r="AL405" s="115"/>
      <c r="AM405" s="115"/>
      <c r="AN405" s="115"/>
      <c r="AO405" s="115"/>
      <c r="AP405" s="115"/>
      <c r="AQ405" s="11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</row>
    <row r="406" spans="1:56" ht="13.5">
      <c r="A406" s="3" t="s">
        <v>359</v>
      </c>
      <c r="B406" s="287">
        <f>MIN(0.7*(B403+8)^0.31,2.8)</f>
        <v>2.0693662482105193</v>
      </c>
      <c r="C406" s="102" t="s">
        <v>9</v>
      </c>
      <c r="D406" t="s">
        <v>565</v>
      </c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 s="115"/>
      <c r="AE406" s="115"/>
      <c r="AF406" s="115"/>
      <c r="AG406" s="115"/>
      <c r="AH406" s="115"/>
      <c r="AI406" s="115"/>
      <c r="AJ406" s="115"/>
      <c r="AK406" s="115"/>
      <c r="AL406" s="115"/>
      <c r="AM406" s="115"/>
      <c r="AN406" s="115"/>
      <c r="AO406" s="115"/>
      <c r="AP406" s="115"/>
      <c r="AQ406" s="115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</row>
    <row r="407" spans="1:56" ht="13.5">
      <c r="A407" s="3" t="s">
        <v>419</v>
      </c>
      <c r="B407" s="271">
        <f>MIN(3.5,2.8+27*((98-B403-8)/100)^4)</f>
        <v>3.5</v>
      </c>
      <c r="C407" s="102" t="s">
        <v>9</v>
      </c>
      <c r="D407" t="s">
        <v>565</v>
      </c>
      <c r="E407"/>
      <c r="F407"/>
      <c r="G407"/>
      <c r="H407"/>
      <c r="I407"/>
      <c r="J407"/>
      <c r="K407"/>
      <c r="L407"/>
      <c r="M407"/>
      <c r="N407"/>
      <c r="O407"/>
      <c r="P407"/>
      <c r="Q407"/>
      <c r="R407" s="115"/>
      <c r="S407" s="115"/>
      <c r="T407" s="115"/>
      <c r="U407"/>
      <c r="V407"/>
      <c r="W407"/>
      <c r="X407"/>
      <c r="Y407"/>
      <c r="Z407"/>
      <c r="AA407"/>
      <c r="AB407"/>
      <c r="AC407"/>
      <c r="AD407" s="115"/>
      <c r="AE407" s="115"/>
      <c r="AF407" s="115"/>
      <c r="AG407" s="115"/>
      <c r="AH407" s="115"/>
      <c r="AI407" s="115"/>
      <c r="AJ407" s="115"/>
      <c r="AK407" s="115"/>
      <c r="AL407" s="115"/>
      <c r="AM407" s="115"/>
      <c r="AN407" s="115"/>
      <c r="AO407" s="115"/>
      <c r="AP407" s="115"/>
      <c r="AQ407" s="115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</row>
    <row r="408" spans="1:56" ht="13.5">
      <c r="A408" s="2" t="s">
        <v>1</v>
      </c>
      <c r="B408" s="8">
        <f>B403/B404</f>
        <v>13.333333333333334</v>
      </c>
      <c r="C408" s="102" t="s">
        <v>10</v>
      </c>
      <c r="D408" s="387" t="s">
        <v>564</v>
      </c>
      <c r="E408"/>
      <c r="F408"/>
      <c r="G408"/>
      <c r="H408"/>
      <c r="I408"/>
      <c r="J408"/>
      <c r="K408"/>
      <c r="L408"/>
      <c r="M408"/>
      <c r="N408"/>
      <c r="O408"/>
      <c r="P408"/>
      <c r="Q408"/>
      <c r="R408" s="115"/>
      <c r="S408" s="115"/>
      <c r="T408" s="115"/>
      <c r="U408"/>
      <c r="V408"/>
      <c r="W408"/>
      <c r="X408"/>
      <c r="Y408"/>
      <c r="Z408"/>
      <c r="AA408"/>
      <c r="AB408"/>
      <c r="AC408"/>
      <c r="AD408" s="115"/>
      <c r="AE408" s="115"/>
      <c r="AF408" s="115"/>
      <c r="AG408" s="115"/>
      <c r="AH408" s="115"/>
      <c r="AI408" s="115"/>
      <c r="AJ408" s="115"/>
      <c r="AK408" s="115"/>
      <c r="AL408" s="115"/>
      <c r="AM408" s="115"/>
      <c r="AN408" s="115"/>
      <c r="AO408" s="115"/>
      <c r="AP408" s="115"/>
      <c r="AQ408" s="115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</row>
    <row r="409" spans="1:56" ht="13.5">
      <c r="A409" s="2" t="s">
        <v>7</v>
      </c>
      <c r="B409" s="10">
        <v>3.418</v>
      </c>
      <c r="C409" s="386"/>
      <c r="D409" s="75" t="s">
        <v>397</v>
      </c>
      <c r="E409"/>
      <c r="F409"/>
      <c r="G409"/>
      <c r="H409"/>
      <c r="I409"/>
      <c r="J409"/>
      <c r="K409"/>
      <c r="L409"/>
      <c r="M409"/>
      <c r="N409"/>
      <c r="O409"/>
      <c r="P409"/>
      <c r="Q409" s="349"/>
      <c r="R409" s="115"/>
      <c r="S409" s="115"/>
      <c r="T409" s="115"/>
      <c r="U409"/>
      <c r="V409"/>
      <c r="W409"/>
      <c r="X409"/>
      <c r="Y409"/>
      <c r="Z409"/>
      <c r="AA409"/>
      <c r="AB409"/>
      <c r="AC409"/>
      <c r="AD409" s="115"/>
      <c r="AE409" s="115"/>
      <c r="AF409" s="115"/>
      <c r="AG409" s="115"/>
      <c r="AH409" s="115"/>
      <c r="AI409" s="115"/>
      <c r="AJ409" s="115"/>
      <c r="AK409" s="115"/>
      <c r="AL409" s="115"/>
      <c r="AM409" s="115"/>
      <c r="AN409" s="115"/>
      <c r="AO409" s="115"/>
      <c r="AP409" s="115"/>
      <c r="AQ409" s="115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</row>
    <row r="410" spans="1:56" ht="12">
      <c r="A410"/>
      <c r="B410"/>
      <c r="C410"/>
      <c r="D410"/>
      <c r="E410"/>
      <c r="F410"/>
      <c r="G410"/>
      <c r="H410"/>
      <c r="I410"/>
      <c r="K410"/>
      <c r="L410"/>
      <c r="M410"/>
      <c r="N410"/>
      <c r="O410"/>
      <c r="P410"/>
      <c r="Q410"/>
      <c r="R410" s="115"/>
      <c r="S410" s="115"/>
      <c r="T410" s="115"/>
      <c r="U410"/>
      <c r="V410"/>
      <c r="W410"/>
      <c r="X410"/>
      <c r="Y410"/>
      <c r="Z410"/>
      <c r="AA410"/>
      <c r="AB410"/>
      <c r="AC410"/>
      <c r="AD410" s="115"/>
      <c r="AE410" s="115"/>
      <c r="AF410" s="115"/>
      <c r="AG410" s="115"/>
      <c r="AH410" s="115"/>
      <c r="AI410" s="115"/>
      <c r="AJ410" s="115"/>
      <c r="AK410" s="115"/>
      <c r="AL410" s="115"/>
      <c r="AM410" s="115"/>
      <c r="AN410" s="115"/>
      <c r="AO410" s="115"/>
      <c r="AP410" s="115"/>
      <c r="AQ410" s="115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</row>
    <row r="411" spans="1:56" ht="13.5">
      <c r="A411" s="2" t="s">
        <v>582</v>
      </c>
      <c r="B411" s="394">
        <f>fNRMR(B401,B402,B406,B407,B399,B400,B408,B409,1)</f>
        <v>15.775866270629876</v>
      </c>
      <c r="C411" s="66" t="s">
        <v>166</v>
      </c>
      <c r="D411" s="66" t="s">
        <v>574</v>
      </c>
      <c r="E411" s="56"/>
      <c r="F411" s="56"/>
      <c r="G411"/>
      <c r="H411"/>
      <c r="I411"/>
      <c r="K411"/>
      <c r="L411"/>
      <c r="M411"/>
      <c r="N411"/>
      <c r="O411"/>
      <c r="P411"/>
      <c r="Q411"/>
      <c r="U411"/>
      <c r="V411"/>
      <c r="X411" s="29" t="s">
        <v>410</v>
      </c>
      <c r="Z411"/>
      <c r="AA411"/>
      <c r="AB411"/>
      <c r="AC411"/>
      <c r="AD411" s="115"/>
      <c r="AE411" s="115"/>
      <c r="AF411" s="115"/>
      <c r="AG411" s="115"/>
      <c r="AH411" s="115"/>
      <c r="AI411" s="115"/>
      <c r="AJ411" s="115"/>
      <c r="AK411" s="115"/>
      <c r="AL411" s="115"/>
      <c r="AM411" s="115"/>
      <c r="AN411" s="115"/>
      <c r="AO411" s="115"/>
      <c r="AP411" s="115"/>
      <c r="AQ411" s="115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</row>
    <row r="412" spans="1:56" ht="13.5">
      <c r="A412" s="2" t="s">
        <v>583</v>
      </c>
      <c r="B412" s="41">
        <f>fNRMR(B401,B402,B406,B407,B399,B400,B408,B409,3)</f>
        <v>47.05242379325362</v>
      </c>
      <c r="C412" s="34" t="s">
        <v>423</v>
      </c>
      <c r="D412" s="34" t="s">
        <v>572</v>
      </c>
      <c r="E412" s="56"/>
      <c r="F412" s="56"/>
      <c r="G412" s="57"/>
      <c r="H412" s="60"/>
      <c r="I412"/>
      <c r="J412"/>
      <c r="K412"/>
      <c r="L412"/>
      <c r="M412"/>
      <c r="N412"/>
      <c r="O412"/>
      <c r="P412"/>
      <c r="Q412"/>
      <c r="U412"/>
      <c r="V412"/>
      <c r="X412" s="349" t="s">
        <v>559</v>
      </c>
      <c r="Z412"/>
      <c r="AA412"/>
      <c r="AB412"/>
      <c r="AC412"/>
      <c r="AD412" s="115"/>
      <c r="AE412" s="115"/>
      <c r="AF412" s="115"/>
      <c r="AG412" s="115"/>
      <c r="AH412" s="115"/>
      <c r="AI412" s="115"/>
      <c r="AJ412" s="115"/>
      <c r="AK412" s="115"/>
      <c r="AL412" s="115"/>
      <c r="AM412" s="115"/>
      <c r="AN412" s="115"/>
      <c r="AO412" s="115"/>
      <c r="AP412" s="115"/>
      <c r="AQ412" s="115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</row>
    <row r="413" spans="1:56" ht="13.5">
      <c r="A413" s="2" t="s">
        <v>24</v>
      </c>
      <c r="B413" s="41">
        <f>fNRMR(B401,B402,B406,B407,B399,B400,B408,B409,2)</f>
        <v>0.2751750186360127</v>
      </c>
      <c r="C413" s="34" t="s">
        <v>423</v>
      </c>
      <c r="D413" s="34" t="s">
        <v>573</v>
      </c>
      <c r="E413" s="56"/>
      <c r="F413" s="56"/>
      <c r="G413" s="56"/>
      <c r="H413" s="56"/>
      <c r="I413" s="388" t="s">
        <v>584</v>
      </c>
      <c r="J413" s="389"/>
      <c r="K413" s="56"/>
      <c r="L413" s="2"/>
      <c r="N413" s="56"/>
      <c r="O413" s="56"/>
      <c r="P413"/>
      <c r="Q413"/>
      <c r="U413"/>
      <c r="V413"/>
      <c r="X413" s="29" t="s">
        <v>411</v>
      </c>
      <c r="Z413"/>
      <c r="AA413"/>
      <c r="AB413"/>
      <c r="AC413"/>
      <c r="AD413" s="115"/>
      <c r="AE413" s="115"/>
      <c r="AF413" s="115"/>
      <c r="AG413" s="115"/>
      <c r="AH413" s="115"/>
      <c r="AI413" s="115"/>
      <c r="AJ413" s="115"/>
      <c r="AK413" s="115"/>
      <c r="AL413" s="115"/>
      <c r="AM413" s="115"/>
      <c r="AN413" s="115"/>
      <c r="AO413" s="115"/>
      <c r="AP413" s="115"/>
      <c r="AQ413" s="115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</row>
    <row r="414" spans="1:56" ht="13.5">
      <c r="A414" s="2" t="s">
        <v>17</v>
      </c>
      <c r="B414" s="7">
        <f>B411/B399/B400/B408</f>
        <v>0.9859916419143673</v>
      </c>
      <c r="C414" s="337" t="s">
        <v>575</v>
      </c>
      <c r="E414" s="31" t="s">
        <v>413</v>
      </c>
      <c r="F414" s="56"/>
      <c r="G414" s="56"/>
      <c r="H414" s="56"/>
      <c r="I414" s="390" t="s">
        <v>578</v>
      </c>
      <c r="J414" s="391"/>
      <c r="K414" s="56"/>
      <c r="L414" s="2"/>
      <c r="M414" s="365"/>
      <c r="N414" s="56"/>
      <c r="O414" s="56"/>
      <c r="P414"/>
      <c r="Q414"/>
      <c r="U414"/>
      <c r="V414"/>
      <c r="W414" s="2" t="s">
        <v>580</v>
      </c>
      <c r="X414" s="349" t="s">
        <v>560</v>
      </c>
      <c r="Z414"/>
      <c r="AA414"/>
      <c r="AB414"/>
      <c r="AC414"/>
      <c r="AD414" s="115"/>
      <c r="AE414" s="115"/>
      <c r="AF414" s="115"/>
      <c r="AG414" s="115"/>
      <c r="AH414" s="115"/>
      <c r="AI414" s="115"/>
      <c r="AJ414" s="115"/>
      <c r="AK414" s="115"/>
      <c r="AL414" s="115"/>
      <c r="AM414" s="115"/>
      <c r="AN414" s="115"/>
      <c r="AO414" s="115"/>
      <c r="AP414" s="115"/>
      <c r="AQ414" s="115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</row>
    <row r="415" spans="1:56" ht="13.5">
      <c r="A415" s="2" t="s">
        <v>18</v>
      </c>
      <c r="B415" s="10">
        <f>0.5-B413/B411/B400</f>
        <v>0.4970928694298465</v>
      </c>
      <c r="C415" s="337" t="s">
        <v>576</v>
      </c>
      <c r="E415" s="31" t="s">
        <v>577</v>
      </c>
      <c r="F415" s="56"/>
      <c r="G415" s="56"/>
      <c r="I415" s="392" t="s">
        <v>579</v>
      </c>
      <c r="J415" s="393"/>
      <c r="K415" s="56"/>
      <c r="L415" s="2"/>
      <c r="M415" s="365"/>
      <c r="N415" s="56"/>
      <c r="O415" s="56"/>
      <c r="P415"/>
      <c r="Q415"/>
      <c r="U415"/>
      <c r="V415" t="s">
        <v>581</v>
      </c>
      <c r="W415" s="144"/>
      <c r="X415" s="138"/>
      <c r="Z415"/>
      <c r="AA415"/>
      <c r="AB415"/>
      <c r="AC415"/>
      <c r="AD415" s="115"/>
      <c r="AE415" s="115"/>
      <c r="AF415" s="115"/>
      <c r="AG415" s="115"/>
      <c r="AH415" s="115"/>
      <c r="AI415" s="115"/>
      <c r="AJ415" s="115"/>
      <c r="AK415" s="115"/>
      <c r="AL415" s="115"/>
      <c r="AM415" s="115"/>
      <c r="AN415" s="115"/>
      <c r="AO415" s="115"/>
      <c r="AP415" s="115"/>
      <c r="AQ415" s="1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</row>
    <row r="416" spans="10:56" ht="12">
      <c r="J416" s="31"/>
      <c r="K416" s="56"/>
      <c r="L416" s="56"/>
      <c r="M416" s="56"/>
      <c r="N416" s="56"/>
      <c r="O416" s="56"/>
      <c r="P416"/>
      <c r="Q416"/>
      <c r="U416"/>
      <c r="V416"/>
      <c r="W416" s="2"/>
      <c r="X416" s="138"/>
      <c r="Z416"/>
      <c r="AA416"/>
      <c r="AB416"/>
      <c r="AC416"/>
      <c r="AD416" s="115"/>
      <c r="AE416" s="115"/>
      <c r="AF416" s="115"/>
      <c r="AG416" s="115"/>
      <c r="AH416" s="115"/>
      <c r="AI416" s="115"/>
      <c r="AJ416" s="115"/>
      <c r="AK416" s="115"/>
      <c r="AL416" s="115"/>
      <c r="AM416" s="115"/>
      <c r="AN416" s="115"/>
      <c r="AO416" s="115"/>
      <c r="AP416" s="115"/>
      <c r="AQ416" s="115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</row>
    <row r="417" spans="1:56" ht="12">
      <c r="A417" s="2"/>
      <c r="G417" s="56"/>
      <c r="H417" s="56"/>
      <c r="I417" s="56"/>
      <c r="J417" s="31"/>
      <c r="K417" s="56"/>
      <c r="L417" s="56"/>
      <c r="M417" s="56"/>
      <c r="N417" s="56"/>
      <c r="O417" s="56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 s="115"/>
      <c r="AE417" s="115"/>
      <c r="AF417" s="115"/>
      <c r="AG417" s="115"/>
      <c r="AH417" s="115"/>
      <c r="AI417" s="115"/>
      <c r="AJ417" s="115"/>
      <c r="AK417" s="115"/>
      <c r="AL417" s="115"/>
      <c r="AM417" s="115"/>
      <c r="AN417" s="115"/>
      <c r="AO417" s="115"/>
      <c r="AP417" s="115"/>
      <c r="AQ417" s="115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</row>
    <row r="418" spans="1:56" ht="12">
      <c r="A418" s="2"/>
      <c r="G418" s="56"/>
      <c r="H418" s="56"/>
      <c r="I418" s="56"/>
      <c r="J418" s="31"/>
      <c r="K418" s="56"/>
      <c r="L418" s="21"/>
      <c r="O418" s="56"/>
      <c r="P418"/>
      <c r="R418"/>
      <c r="S418"/>
      <c r="T418"/>
      <c r="U418"/>
      <c r="V418"/>
      <c r="W418"/>
      <c r="X418"/>
      <c r="Y418"/>
      <c r="Z418"/>
      <c r="AA418"/>
      <c r="AB418"/>
      <c r="AC418"/>
      <c r="AD418" s="115"/>
      <c r="AE418" s="115"/>
      <c r="AF418" s="115"/>
      <c r="AG418" s="115"/>
      <c r="AH418" s="115"/>
      <c r="AI418" s="115"/>
      <c r="AJ418" s="115"/>
      <c r="AK418" s="115"/>
      <c r="AL418" s="115"/>
      <c r="AM418" s="115"/>
      <c r="AN418" s="115"/>
      <c r="AO418" s="115"/>
      <c r="AP418" s="115"/>
      <c r="AQ418" s="115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</row>
    <row r="419" spans="1:44" ht="12">
      <c r="A419" s="146"/>
      <c r="B419" s="146"/>
      <c r="C419" s="146"/>
      <c r="D419" s="146"/>
      <c r="E419" s="146"/>
      <c r="F419" s="146"/>
      <c r="G419" s="146"/>
      <c r="H419" s="146"/>
      <c r="I419" s="146"/>
      <c r="J419" s="146"/>
      <c r="K419" s="146"/>
      <c r="L419" s="146"/>
      <c r="M419" s="146"/>
      <c r="N419" s="146"/>
      <c r="O419" s="146"/>
      <c r="P419"/>
      <c r="Q419"/>
      <c r="R419"/>
      <c r="S419"/>
      <c r="T419"/>
      <c r="U419" s="115"/>
      <c r="V419" s="115"/>
      <c r="W419" s="115"/>
      <c r="X419" s="115"/>
      <c r="Y419" s="115"/>
      <c r="Z419" s="115"/>
      <c r="AA419" s="115"/>
      <c r="AB419" s="115"/>
      <c r="AC419" s="115"/>
      <c r="AD419" s="115"/>
      <c r="AE419" s="115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</row>
    <row r="420" spans="1:44" ht="13.5">
      <c r="A420" s="58" t="s">
        <v>587</v>
      </c>
      <c r="B420" s="56"/>
      <c r="G420" s="56"/>
      <c r="J420" s="31"/>
      <c r="K420" s="56"/>
      <c r="O420" s="56"/>
      <c r="P420"/>
      <c r="Q420"/>
      <c r="R420"/>
      <c r="S420"/>
      <c r="T420"/>
      <c r="U420" s="115"/>
      <c r="V420" s="115"/>
      <c r="W420" s="115"/>
      <c r="X420" s="115"/>
      <c r="Y420" s="115"/>
      <c r="Z420" s="115"/>
      <c r="AA420" s="115"/>
      <c r="AB420" s="115"/>
      <c r="AC420" s="115"/>
      <c r="AD420" s="115"/>
      <c r="AE420" s="115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</row>
    <row r="421" spans="1:44" ht="12">
      <c r="A421" s="31" t="s">
        <v>609</v>
      </c>
      <c r="B421" s="56"/>
      <c r="G421" s="56"/>
      <c r="J421" s="31"/>
      <c r="K421" s="56"/>
      <c r="O421" s="56"/>
      <c r="P421"/>
      <c r="Q421"/>
      <c r="R421"/>
      <c r="S421"/>
      <c r="T421"/>
      <c r="U421" s="115"/>
      <c r="V421" s="115"/>
      <c r="W421" s="115"/>
      <c r="X421" s="115"/>
      <c r="Y421" s="115"/>
      <c r="Z421" s="115"/>
      <c r="AA421" s="115"/>
      <c r="AB421" s="115"/>
      <c r="AC421" s="115"/>
      <c r="AD421" s="115"/>
      <c r="AE421" s="115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</row>
    <row r="422" spans="6:44" ht="12.75" thickBot="1">
      <c r="F422" s="29" t="s">
        <v>614</v>
      </c>
      <c r="G422" s="31"/>
      <c r="J422" s="31"/>
      <c r="K422" s="56"/>
      <c r="O422" s="56"/>
      <c r="P422"/>
      <c r="Q422" s="349" t="s">
        <v>616</v>
      </c>
      <c r="R422"/>
      <c r="S422"/>
      <c r="T422"/>
      <c r="U422" s="115"/>
      <c r="V422" s="115"/>
      <c r="W422" s="115"/>
      <c r="X422" s="115"/>
      <c r="Y422" s="115"/>
      <c r="Z422" s="115"/>
      <c r="AA422" s="115"/>
      <c r="AB422" s="115"/>
      <c r="AC422" s="115"/>
      <c r="AD422" s="115"/>
      <c r="AE422" s="115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</row>
    <row r="423" spans="1:44" ht="15" thickBot="1" thickTop="1">
      <c r="A423" s="102"/>
      <c r="B423" s="155" t="s">
        <v>599</v>
      </c>
      <c r="C423" s="102"/>
      <c r="E423" s="2" t="s">
        <v>610</v>
      </c>
      <c r="F423" s="493">
        <v>14</v>
      </c>
      <c r="G423" s="494">
        <f>0*14</f>
        <v>0</v>
      </c>
      <c r="H423" s="495">
        <f>0*23.7</f>
        <v>0</v>
      </c>
      <c r="I423" s="5" t="s">
        <v>166</v>
      </c>
      <c r="J423" s="144" t="s">
        <v>1</v>
      </c>
      <c r="K423" s="405">
        <f>B424/B425</f>
        <v>30</v>
      </c>
      <c r="L423" s="102" t="s">
        <v>10</v>
      </c>
      <c r="M423" s="149" t="s">
        <v>2</v>
      </c>
      <c r="N423" s="260">
        <f>22*(N424/10)^0.3</f>
        <v>36.283188218914134</v>
      </c>
      <c r="O423" s="369" t="s">
        <v>516</v>
      </c>
      <c r="P423"/>
      <c r="Q423" s="349" t="s">
        <v>588</v>
      </c>
      <c r="R423"/>
      <c r="S423"/>
      <c r="T423"/>
      <c r="U423" s="115"/>
      <c r="V423" s="115"/>
      <c r="W423" s="115"/>
      <c r="X423" s="115"/>
      <c r="Y423" s="115"/>
      <c r="Z423" s="115"/>
      <c r="AA423" s="115"/>
      <c r="AB423" s="115"/>
      <c r="AC423" s="115"/>
      <c r="AD423" s="115"/>
      <c r="AE423" s="115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</row>
    <row r="424" spans="1:44" ht="15" thickBot="1" thickTop="1">
      <c r="A424" s="144" t="s">
        <v>14</v>
      </c>
      <c r="B424" s="524">
        <v>45</v>
      </c>
      <c r="C424" s="102" t="s">
        <v>10</v>
      </c>
      <c r="E424" s="2" t="s">
        <v>76</v>
      </c>
      <c r="F424" s="523">
        <v>-18.72</v>
      </c>
      <c r="G424" s="499">
        <f>0*18.72</f>
        <v>0</v>
      </c>
      <c r="H424" s="500">
        <f>0*11.23</f>
        <v>0</v>
      </c>
      <c r="I424" s="5" t="s">
        <v>423</v>
      </c>
      <c r="J424" s="3" t="s">
        <v>359</v>
      </c>
      <c r="K424" s="178">
        <f>MIN(0.7*N424^0.31,2.8)</f>
        <v>2.3967545449312704</v>
      </c>
      <c r="L424" s="102" t="s">
        <v>9</v>
      </c>
      <c r="M424" s="149" t="s">
        <v>606</v>
      </c>
      <c r="N424" s="261">
        <f>B424+8</f>
        <v>53</v>
      </c>
      <c r="O424" s="369" t="s">
        <v>10</v>
      </c>
      <c r="P424"/>
      <c r="Q424" s="349" t="s">
        <v>589</v>
      </c>
      <c r="R424"/>
      <c r="S424"/>
      <c r="T424"/>
      <c r="U424" s="115"/>
      <c r="V424" s="115"/>
      <c r="W424" s="115"/>
      <c r="X424" s="115"/>
      <c r="Y424" s="115"/>
      <c r="Z424" s="115"/>
      <c r="AA424" s="115"/>
      <c r="AB424" s="115"/>
      <c r="AC424" s="115"/>
      <c r="AD424" s="115"/>
      <c r="AE424" s="115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</row>
    <row r="425" spans="1:44" ht="14.25" thickTop="1">
      <c r="A425" s="3" t="s">
        <v>230</v>
      </c>
      <c r="B425" s="525">
        <v>1.5</v>
      </c>
      <c r="C425" s="102"/>
      <c r="E425" s="3" t="s">
        <v>80</v>
      </c>
      <c r="F425" s="103">
        <f>macf(Q429,1)</f>
        <v>0.0450763141999405</v>
      </c>
      <c r="G425" s="103">
        <f>macf(R429,1)</f>
        <v>0</v>
      </c>
      <c r="H425" s="103">
        <f>macf(S429,1)</f>
        <v>0</v>
      </c>
      <c r="I425" s="4" t="s">
        <v>9</v>
      </c>
      <c r="J425" s="3" t="s">
        <v>19</v>
      </c>
      <c r="K425" s="180">
        <f>2+IF(B424&gt;50,0.085*(B424-50)^0.53,0)</f>
        <v>2</v>
      </c>
      <c r="L425" s="102" t="s">
        <v>9</v>
      </c>
      <c r="M425" s="144" t="s">
        <v>31</v>
      </c>
      <c r="N425" s="180">
        <f>IF(B424&lt;=50,2,1.4+23.4*((90-B424)/100)^4)</f>
        <v>2</v>
      </c>
      <c r="O425" s="102"/>
      <c r="P425"/>
      <c r="Q425" s="349" t="s">
        <v>590</v>
      </c>
      <c r="R425"/>
      <c r="S425"/>
      <c r="T425"/>
      <c r="U425" s="115"/>
      <c r="V425" s="115"/>
      <c r="W425" s="115"/>
      <c r="X425" s="115"/>
      <c r="Y425" s="115"/>
      <c r="Z425" s="115"/>
      <c r="AA425" s="115"/>
      <c r="AB425" s="115"/>
      <c r="AC425" s="115"/>
      <c r="AD425" s="115"/>
      <c r="AE425" s="11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</row>
    <row r="426" spans="1:44" ht="13.5">
      <c r="A426" s="144" t="s">
        <v>600</v>
      </c>
      <c r="B426" s="525">
        <v>1</v>
      </c>
      <c r="C426" s="102" t="s">
        <v>601</v>
      </c>
      <c r="E426" s="3" t="s">
        <v>42</v>
      </c>
      <c r="F426" s="7">
        <f>macf(Q429,2)</f>
        <v>0.4078153738239624</v>
      </c>
      <c r="G426" s="7">
        <f>macf(R429,2)</f>
        <v>0</v>
      </c>
      <c r="H426" s="7">
        <f>macf(S429,2)</f>
        <v>0</v>
      </c>
      <c r="I426" s="4" t="s">
        <v>9</v>
      </c>
      <c r="J426" s="3" t="s">
        <v>361</v>
      </c>
      <c r="K426" s="180">
        <f>IF(B424&gt;50,2.8+27*((98-N424)/100)^4,3.5)</f>
        <v>3.5</v>
      </c>
      <c r="L426" s="102" t="s">
        <v>9</v>
      </c>
      <c r="M426" s="149" t="s">
        <v>607</v>
      </c>
      <c r="N426" s="185">
        <f>1.05*(N423/1.2)*K424/K423</f>
        <v>2.5363886411581427</v>
      </c>
      <c r="O426" s="102"/>
      <c r="P426"/>
      <c r="Q426" s="349" t="s">
        <v>591</v>
      </c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</row>
    <row r="427" spans="1:44" ht="13.5">
      <c r="A427" s="144" t="s">
        <v>228</v>
      </c>
      <c r="B427" s="525">
        <v>500</v>
      </c>
      <c r="C427" s="102" t="s">
        <v>10</v>
      </c>
      <c r="E427" s="3" t="s">
        <v>613</v>
      </c>
      <c r="F427" s="7">
        <f>macf(Q429,3)</f>
        <v>4.912580627729552E-07</v>
      </c>
      <c r="G427" s="7">
        <f>macf(R429,3)</f>
        <v>0</v>
      </c>
      <c r="H427" s="7">
        <f>macf(S429,3)</f>
        <v>0</v>
      </c>
      <c r="I427" s="5"/>
      <c r="J427" s="3" t="s">
        <v>608</v>
      </c>
      <c r="K427" s="180">
        <f>IF(B424&gt;50,2.6+35*((90-B424)/100)^4,3.5)</f>
        <v>3.5</v>
      </c>
      <c r="L427" s="102" t="s">
        <v>9</v>
      </c>
      <c r="M427" s="102"/>
      <c r="N427" s="102"/>
      <c r="O427" s="102"/>
      <c r="P427"/>
      <c r="Q427" s="349" t="s">
        <v>592</v>
      </c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</row>
    <row r="428" spans="1:44" ht="13.5">
      <c r="A428" s="3" t="s">
        <v>227</v>
      </c>
      <c r="B428" s="525">
        <v>1.15</v>
      </c>
      <c r="C428" s="102"/>
      <c r="E428" s="2" t="s">
        <v>582</v>
      </c>
      <c r="F428" s="7">
        <f>macf(Q429,4)</f>
        <v>14</v>
      </c>
      <c r="G428" s="7">
        <f>macf(R429,4)</f>
        <v>0</v>
      </c>
      <c r="H428" s="7">
        <f>macf(S429,4)</f>
        <v>0</v>
      </c>
      <c r="I428" s="5" t="s">
        <v>166</v>
      </c>
      <c r="J428" s="144" t="s">
        <v>4</v>
      </c>
      <c r="K428" s="346">
        <f>B427/B428</f>
        <v>434.7826086956522</v>
      </c>
      <c r="L428" s="102" t="s">
        <v>10</v>
      </c>
      <c r="M428" s="102"/>
      <c r="N428" s="102"/>
      <c r="O428" s="102"/>
      <c r="P428"/>
      <c r="Q428"/>
      <c r="R428"/>
      <c r="S428"/>
      <c r="T428"/>
      <c r="U428" s="144" t="s">
        <v>49</v>
      </c>
      <c r="V428" s="176">
        <f>fsi(K$432,B433:H434,1)</f>
        <v>2.2</v>
      </c>
      <c r="W428" s="102" t="s">
        <v>85</v>
      </c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</row>
    <row r="429" spans="1:44" ht="14.25" thickBot="1">
      <c r="A429" s="144" t="s">
        <v>357</v>
      </c>
      <c r="B429" s="526" t="s">
        <v>43</v>
      </c>
      <c r="C429" s="102"/>
      <c r="E429" s="2" t="s">
        <v>24</v>
      </c>
      <c r="F429" s="7">
        <f>macf(Q429,5)</f>
        <v>-18.719900000000003</v>
      </c>
      <c r="G429" s="7">
        <f>macf(R429,5)</f>
        <v>0</v>
      </c>
      <c r="H429" s="9">
        <f>macf(S429,5)</f>
        <v>0</v>
      </c>
      <c r="I429" s="5" t="s">
        <v>423</v>
      </c>
      <c r="J429" s="3" t="s">
        <v>8</v>
      </c>
      <c r="K429" s="180">
        <f>VLOOKUP(B429,taba,3)</f>
        <v>50</v>
      </c>
      <c r="L429" s="102" t="s">
        <v>9</v>
      </c>
      <c r="M429" s="102"/>
      <c r="N429" s="102"/>
      <c r="O429" s="102"/>
      <c r="P429"/>
      <c r="Q429" s="409" t="str">
        <f>fpc2(F423,F424,$V433,$K432,$B$433:$H$434,$B426,$K423,$K424,$K425,$K426,$K427,$N425,$N426,$K440,$B$440:$H$442,$K429,$K430,$K428)</f>
        <v>3102221846310124520931072035593302140000130218719900000000000000000000000000000000000000000000000000</v>
      </c>
      <c r="R429" s="409" t="str">
        <f>fpc2(G423,G424,$V433,$K432,$B$433:$H$434,$B426,$K423,$K424,$K425,$K426,$K427,$N425,$N426,$K440,$B$440:$H$442,$K429,$K430,$K428)</f>
        <v>0000000000000000000000000000000000000000000000000000000000000000000000000000000000000000000000000000</v>
      </c>
      <c r="S429" s="410" t="str">
        <f>fpc2(H423,H424,$V433,$K432,$B$433:$H$434,$B426,$K423,$K424,$K425,$K426,$K427,$N425,$N426,$K440,$B$440:$H$442,$K429,$K430,$K428)</f>
        <v>0000000000000000000000000000000000000000000000000000000000000000000000000000000000000000000000000000</v>
      </c>
      <c r="T429"/>
      <c r="U429" s="144" t="s">
        <v>29</v>
      </c>
      <c r="V429" s="406">
        <f>fsi(K$432,B433:H434,2)</f>
        <v>2.7</v>
      </c>
      <c r="W429" s="102" t="s">
        <v>11</v>
      </c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</row>
    <row r="430" spans="5:44" ht="14.25" thickTop="1">
      <c r="E430" s="3" t="s">
        <v>617</v>
      </c>
      <c r="F430" s="294">
        <f>sica(MAX(F425:F426),$K423,$B426,$K424,$K425,$N426,$N425)</f>
        <v>10.987110871265031</v>
      </c>
      <c r="G430" s="294">
        <f>sica(MAX(G425:G426),$K423,$B426,$K424,$K425,$N426,$N425)</f>
        <v>0</v>
      </c>
      <c r="H430" s="294">
        <f>sica(MAX(H425:H426),$K423,$B426,$K424,$K425,$N426,$N425)</f>
        <v>0</v>
      </c>
      <c r="I430" s="5" t="s">
        <v>10</v>
      </c>
      <c r="J430" s="144" t="s">
        <v>7</v>
      </c>
      <c r="K430" s="187">
        <f>VLOOKUP(B429,taba,2)</f>
        <v>1.08</v>
      </c>
      <c r="L430" s="102"/>
      <c r="M430" s="102"/>
      <c r="N430" s="102"/>
      <c r="O430" s="102"/>
      <c r="P430"/>
      <c r="Q430"/>
      <c r="R430"/>
      <c r="S430"/>
      <c r="T430"/>
      <c r="U430" s="144" t="s">
        <v>50</v>
      </c>
      <c r="V430" s="406">
        <f>fsi(K$432,B433:H434,3)</f>
        <v>2.7</v>
      </c>
      <c r="W430" s="102" t="s">
        <v>11</v>
      </c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</row>
    <row r="431" spans="13:44" ht="13.5">
      <c r="M431" s="56"/>
      <c r="N431" s="56"/>
      <c r="O431" s="56"/>
      <c r="P431"/>
      <c r="Q431"/>
      <c r="R431"/>
      <c r="S431"/>
      <c r="T431"/>
      <c r="U431" s="144" t="s">
        <v>611</v>
      </c>
      <c r="V431" s="180">
        <f>fsi(K$432,B433:H434,6)</f>
        <v>5.4</v>
      </c>
      <c r="W431" s="102" t="s">
        <v>11</v>
      </c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</row>
    <row r="432" spans="1:44" ht="14.25" thickBot="1">
      <c r="A432" s="263" t="s">
        <v>593</v>
      </c>
      <c r="B432" s="20">
        <v>1</v>
      </c>
      <c r="C432" s="20">
        <f aca="true" t="shared" si="58" ref="C432:H432">IF(C434="","",B432+1)</f>
        <v>2</v>
      </c>
      <c r="D432" s="20">
        <f t="shared" si="58"/>
        <v>3</v>
      </c>
      <c r="E432" s="20">
        <f t="shared" si="58"/>
      </c>
      <c r="F432" s="20">
        <f t="shared" si="58"/>
      </c>
      <c r="G432" s="20">
        <f t="shared" si="58"/>
      </c>
      <c r="H432" s="20">
        <f t="shared" si="58"/>
      </c>
      <c r="I432" s="102"/>
      <c r="J432" s="102" t="s">
        <v>594</v>
      </c>
      <c r="K432" s="398">
        <f>MAX(B432:H432)</f>
        <v>3</v>
      </c>
      <c r="L432" s="102"/>
      <c r="P432"/>
      <c r="Q432"/>
      <c r="R432"/>
      <c r="S432"/>
      <c r="T432"/>
      <c r="U432" s="144" t="s">
        <v>28</v>
      </c>
      <c r="V432" s="406">
        <f>fsi(K$432,B433:H434,4)</f>
        <v>10.199333333333332</v>
      </c>
      <c r="W432" s="102" t="s">
        <v>86</v>
      </c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</row>
    <row r="433" spans="1:44" ht="12.75" thickTop="1">
      <c r="A433" s="144" t="s">
        <v>0</v>
      </c>
      <c r="B433" s="514">
        <v>3</v>
      </c>
      <c r="C433" s="515">
        <v>0.2</v>
      </c>
      <c r="D433" s="515">
        <v>3</v>
      </c>
      <c r="E433" s="515"/>
      <c r="F433" s="515"/>
      <c r="G433" s="515"/>
      <c r="H433" s="516"/>
      <c r="I433" s="4" t="s">
        <v>11</v>
      </c>
      <c r="J433" s="102" t="s">
        <v>595</v>
      </c>
      <c r="K433" s="102"/>
      <c r="L433" s="102"/>
      <c r="P433"/>
      <c r="Q433"/>
      <c r="R433"/>
      <c r="S433"/>
      <c r="T433"/>
      <c r="U433" s="144" t="s">
        <v>612</v>
      </c>
      <c r="V433" s="187">
        <f>IF(C439=1,V431/2,V429)</f>
        <v>2.7</v>
      </c>
      <c r="W433" s="102" t="s">
        <v>11</v>
      </c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</row>
    <row r="434" spans="1:44" ht="12.75" thickBot="1">
      <c r="A434" s="144" t="s">
        <v>25</v>
      </c>
      <c r="B434" s="517">
        <v>0.2</v>
      </c>
      <c r="C434" s="518">
        <v>5</v>
      </c>
      <c r="D434" s="518">
        <v>0.2</v>
      </c>
      <c r="E434" s="518"/>
      <c r="F434" s="518"/>
      <c r="G434" s="518"/>
      <c r="H434" s="519"/>
      <c r="I434" s="399" t="s">
        <v>11</v>
      </c>
      <c r="J434" s="102" t="s">
        <v>596</v>
      </c>
      <c r="K434" s="102"/>
      <c r="L434" s="386"/>
      <c r="P434"/>
      <c r="Q434"/>
      <c r="R434"/>
      <c r="S434"/>
      <c r="T434"/>
      <c r="U434" s="369"/>
      <c r="V434" s="369" t="str">
        <f>"/"&amp;IF(C439=1,"au cdg","au milieu")</f>
        <v>/au milieu</v>
      </c>
      <c r="W434" s="369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</row>
    <row r="435" spans="1:44" ht="12.75" thickTop="1">
      <c r="A435" s="3" t="s">
        <v>17</v>
      </c>
      <c r="B435" s="400">
        <f aca="true" t="shared" si="59" ref="B435:H435">IF(B432="","",pcv(B432,$K440,$B433:$H436,$B440:$H443))</f>
        <v>0.004523893421169302</v>
      </c>
      <c r="C435" s="400">
        <f t="shared" si="59"/>
        <v>0</v>
      </c>
      <c r="D435" s="400">
        <f t="shared" si="59"/>
        <v>0.004523893421169302</v>
      </c>
      <c r="E435" s="400">
        <f t="shared" si="59"/>
      </c>
      <c r="F435" s="400">
        <f t="shared" si="59"/>
      </c>
      <c r="G435" s="400">
        <f t="shared" si="59"/>
      </c>
      <c r="H435" s="400">
        <f t="shared" si="59"/>
      </c>
      <c r="I435" s="102" t="s">
        <v>602</v>
      </c>
      <c r="J435" s="102"/>
      <c r="K435" s="102"/>
      <c r="L435" s="2" t="s">
        <v>77</v>
      </c>
      <c r="M435" s="6">
        <f>SUM(B434:H434)</f>
        <v>5.4</v>
      </c>
      <c r="N435" s="5" t="s">
        <v>11</v>
      </c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</row>
    <row r="436" spans="1:44" ht="13.5">
      <c r="A436" s="144"/>
      <c r="B436" s="102"/>
      <c r="C436" s="102"/>
      <c r="D436" s="102"/>
      <c r="E436" s="102"/>
      <c r="F436" s="102"/>
      <c r="G436" s="102"/>
      <c r="H436" s="102"/>
      <c r="I436" s="102"/>
      <c r="J436" s="386"/>
      <c r="L436" s="401" t="s">
        <v>603</v>
      </c>
      <c r="M436" s="313">
        <f aca="true" t="array" ref="M436">SUM(B433:H433*B434:H434)</f>
        <v>2.2</v>
      </c>
      <c r="N436" t="s">
        <v>85</v>
      </c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</row>
    <row r="437" spans="10:44" ht="13.5">
      <c r="J437" s="102"/>
      <c r="L437" s="402" t="s">
        <v>604</v>
      </c>
      <c r="M437" s="407">
        <f>M438/M436/10000</f>
        <v>0.0024675782297287102</v>
      </c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</row>
    <row r="438" spans="1:44" ht="13.5">
      <c r="A438" s="102"/>
      <c r="B438" s="102"/>
      <c r="C438" s="102"/>
      <c r="D438" s="102"/>
      <c r="E438" s="102"/>
      <c r="F438" s="102"/>
      <c r="G438" s="102"/>
      <c r="H438" s="102"/>
      <c r="I438" s="102"/>
      <c r="J438" s="102"/>
      <c r="K438" s="102"/>
      <c r="L438" s="401" t="s">
        <v>605</v>
      </c>
      <c r="M438" s="408">
        <f>SUM(B444:H444)</f>
        <v>54.28672105403163</v>
      </c>
      <c r="N438" t="s">
        <v>13</v>
      </c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</row>
    <row r="439" spans="1:44" ht="12.75" thickBot="1">
      <c r="A439" s="263" t="s">
        <v>597</v>
      </c>
      <c r="B439" s="20">
        <v>1</v>
      </c>
      <c r="C439" s="20">
        <f aca="true" t="shared" si="60" ref="C439:H439">IF(C440="","",B439+1)</f>
        <v>2</v>
      </c>
      <c r="D439" s="20">
        <f t="shared" si="60"/>
        <v>3</v>
      </c>
      <c r="E439" s="20">
        <f t="shared" si="60"/>
        <v>4</v>
      </c>
      <c r="F439" s="20">
        <f t="shared" si="60"/>
      </c>
      <c r="G439" s="20">
        <f t="shared" si="60"/>
      </c>
      <c r="H439" s="20">
        <f t="shared" si="60"/>
      </c>
      <c r="I439" s="102"/>
      <c r="J439" s="386"/>
      <c r="K439" s="386"/>
      <c r="L439" s="386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</row>
    <row r="440" spans="1:44" ht="12.75" thickTop="1">
      <c r="A440" s="144" t="s">
        <v>31</v>
      </c>
      <c r="B440" s="514">
        <v>12</v>
      </c>
      <c r="C440" s="515">
        <f>B440</f>
        <v>12</v>
      </c>
      <c r="D440" s="515">
        <f>C440</f>
        <v>12</v>
      </c>
      <c r="E440" s="515">
        <f>D440</f>
        <v>12</v>
      </c>
      <c r="F440" s="515"/>
      <c r="G440" s="515"/>
      <c r="H440" s="516"/>
      <c r="I440" s="102"/>
      <c r="J440" s="102" t="s">
        <v>594</v>
      </c>
      <c r="K440" s="398">
        <f>MAX(B439:H439)</f>
        <v>4</v>
      </c>
      <c r="L440" s="386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</row>
    <row r="441" spans="1:44" ht="12">
      <c r="A441" s="149" t="s">
        <v>273</v>
      </c>
      <c r="B441" s="517">
        <v>12</v>
      </c>
      <c r="C441" s="518">
        <v>12</v>
      </c>
      <c r="D441" s="518">
        <v>12</v>
      </c>
      <c r="E441" s="518">
        <f>D441</f>
        <v>12</v>
      </c>
      <c r="F441" s="518"/>
      <c r="G441" s="518"/>
      <c r="H441" s="519"/>
      <c r="I441" s="399" t="s">
        <v>186</v>
      </c>
      <c r="J441" s="386" t="s">
        <v>271</v>
      </c>
      <c r="K441" s="386"/>
      <c r="L441" s="386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</row>
    <row r="442" spans="1:44" ht="12.75" thickBot="1">
      <c r="A442" s="144" t="s">
        <v>33</v>
      </c>
      <c r="B442" s="520">
        <v>5.365</v>
      </c>
      <c r="C442" s="521">
        <v>5.235</v>
      </c>
      <c r="D442" s="521">
        <v>0.035</v>
      </c>
      <c r="E442" s="521">
        <v>0.165</v>
      </c>
      <c r="F442" s="521"/>
      <c r="G442" s="521"/>
      <c r="H442" s="522"/>
      <c r="I442" s="399" t="s">
        <v>11</v>
      </c>
      <c r="J442" s="386" t="s">
        <v>16</v>
      </c>
      <c r="K442" s="386"/>
      <c r="L442" s="10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</row>
    <row r="443" spans="1:44" ht="12.75" thickTop="1">
      <c r="A443" s="144" t="s">
        <v>598</v>
      </c>
      <c r="B443" s="403">
        <f aca="true" t="shared" si="61" ref="B443:H443">IF(B439="","",fnov(B442,$B434:$H434,$K432))</f>
        <v>3</v>
      </c>
      <c r="C443" s="403">
        <f t="shared" si="61"/>
        <v>3</v>
      </c>
      <c r="D443" s="403">
        <f t="shared" si="61"/>
        <v>1</v>
      </c>
      <c r="E443" s="403">
        <f t="shared" si="61"/>
        <v>1</v>
      </c>
      <c r="F443" s="403">
        <f t="shared" si="61"/>
      </c>
      <c r="G443" s="403">
        <f t="shared" si="61"/>
      </c>
      <c r="H443" s="403">
        <f t="shared" si="61"/>
      </c>
      <c r="I443" s="102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</row>
    <row r="444" spans="1:44" ht="13.5">
      <c r="A444" s="401" t="s">
        <v>236</v>
      </c>
      <c r="B444" s="404">
        <f>B440*(B441/10)^2/4*PI()</f>
        <v>13.571680263507908</v>
      </c>
      <c r="C444" s="404">
        <f aca="true" t="shared" si="62" ref="C444:H444">C440*(C441/10)^2/4*PI()</f>
        <v>13.571680263507908</v>
      </c>
      <c r="D444" s="404">
        <f t="shared" si="62"/>
        <v>13.571680263507908</v>
      </c>
      <c r="E444" s="404">
        <f t="shared" si="62"/>
        <v>13.571680263507908</v>
      </c>
      <c r="F444" s="404">
        <f t="shared" si="62"/>
        <v>0</v>
      </c>
      <c r="G444" s="404">
        <f t="shared" si="62"/>
        <v>0</v>
      </c>
      <c r="H444" s="404">
        <f t="shared" si="62"/>
        <v>0</v>
      </c>
      <c r="I444" t="s">
        <v>13</v>
      </c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</row>
    <row r="445" spans="1:44" ht="1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</row>
    <row r="446" spans="1:44" ht="12">
      <c r="A446"/>
      <c r="B446"/>
      <c r="C446"/>
      <c r="D446"/>
      <c r="E446"/>
      <c r="F446"/>
      <c r="G446"/>
      <c r="H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</row>
    <row r="447" spans="1:44" ht="12">
      <c r="A447" s="146"/>
      <c r="B447" s="146"/>
      <c r="C447" s="146"/>
      <c r="D447" s="146"/>
      <c r="E447" s="146"/>
      <c r="F447" s="146"/>
      <c r="G447" s="146"/>
      <c r="H447" s="146"/>
      <c r="I447" s="146"/>
      <c r="J447" s="146"/>
      <c r="K447" s="146"/>
      <c r="L447" s="146"/>
      <c r="M447" s="146"/>
      <c r="N447" s="146"/>
      <c r="O447" s="146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</row>
    <row r="448" spans="1:44" ht="12">
      <c r="A448" s="88" t="s">
        <v>618</v>
      </c>
      <c r="B448"/>
      <c r="C448"/>
      <c r="D448"/>
      <c r="E448"/>
      <c r="F448"/>
      <c r="G448"/>
      <c r="H448"/>
      <c r="I448" s="349" t="s">
        <v>619</v>
      </c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</row>
    <row r="449" spans="1:44" ht="1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</row>
    <row r="450" spans="1:44" ht="12">
      <c r="A450" s="387" t="s">
        <v>621</v>
      </c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</row>
    <row r="451" spans="1:44" ht="12">
      <c r="A451" t="s">
        <v>622</v>
      </c>
      <c r="B451"/>
      <c r="C451"/>
      <c r="D451"/>
      <c r="E451"/>
      <c r="F451"/>
      <c r="G451"/>
      <c r="H451"/>
      <c r="I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</row>
    <row r="452" spans="1:44" ht="12">
      <c r="A452" t="s">
        <v>620</v>
      </c>
      <c r="B452"/>
      <c r="C452"/>
      <c r="D452"/>
      <c r="E452"/>
      <c r="F452"/>
      <c r="G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</row>
    <row r="453" spans="1:44" ht="1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</row>
    <row r="454" spans="1:44" ht="12.75" thickBot="1">
      <c r="A454"/>
      <c r="B454"/>
      <c r="C454"/>
      <c r="D454" s="1" t="s">
        <v>183</v>
      </c>
      <c r="E454" s="1" t="s">
        <v>627</v>
      </c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</row>
    <row r="455" spans="1:44" ht="13.5" thickBot="1" thickTop="1">
      <c r="A455" s="2" t="s">
        <v>623</v>
      </c>
      <c r="B455" s="483">
        <v>6</v>
      </c>
      <c r="C455" s="2" t="s">
        <v>625</v>
      </c>
      <c r="D455" s="510">
        <v>0.5</v>
      </c>
      <c r="E455" s="511">
        <v>0</v>
      </c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</row>
    <row r="456" spans="1:44" ht="13.5" thickBot="1" thickTop="1">
      <c r="A456" s="2" t="s">
        <v>127</v>
      </c>
      <c r="B456" s="486">
        <v>5</v>
      </c>
      <c r="C456" s="2"/>
      <c r="D456" s="412">
        <v>0.6</v>
      </c>
      <c r="E456" s="512">
        <v>0.22916666666666669</v>
      </c>
      <c r="F456"/>
      <c r="G456" s="2" t="s">
        <v>624</v>
      </c>
      <c r="H456" s="415">
        <f>(D462-D455)/B455</f>
        <v>0.11666666666666665</v>
      </c>
      <c r="I456" s="2" t="s">
        <v>628</v>
      </c>
      <c r="J456" s="411">
        <f>simps(E455:E462,B455,B456,H456,0)</f>
        <v>0.2645530829124579</v>
      </c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</row>
    <row r="457" spans="3:44" ht="12.75" thickTop="1">
      <c r="C457" s="2"/>
      <c r="D457" s="413">
        <v>0.7</v>
      </c>
      <c r="E457" s="512">
        <v>0.41666666666666663</v>
      </c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</row>
    <row r="458" spans="1:44" ht="12">
      <c r="A458" s="2"/>
      <c r="C458" s="2"/>
      <c r="D458" s="413">
        <v>0.8</v>
      </c>
      <c r="E458" s="512">
        <v>0.5625</v>
      </c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</row>
    <row r="459" spans="3:44" ht="12">
      <c r="C459" s="2"/>
      <c r="D459" s="413">
        <v>0.9</v>
      </c>
      <c r="E459" s="512">
        <v>0.6666666666666666</v>
      </c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</row>
    <row r="460" spans="1:44" ht="12">
      <c r="A460"/>
      <c r="C460" s="2"/>
      <c r="D460" s="413">
        <v>1</v>
      </c>
      <c r="E460" s="512">
        <v>0.7575757575757576</v>
      </c>
      <c r="F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</row>
    <row r="461" spans="1:44" ht="12.75" thickBot="1">
      <c r="A461"/>
      <c r="C461" s="2"/>
      <c r="D461" s="414">
        <v>1.1</v>
      </c>
      <c r="E461" s="512">
        <v>0.8095238095238095</v>
      </c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</row>
    <row r="462" spans="1:44" ht="13.5" thickBot="1" thickTop="1">
      <c r="A462"/>
      <c r="B462"/>
      <c r="C462" s="2" t="s">
        <v>626</v>
      </c>
      <c r="D462" s="510">
        <v>1.2</v>
      </c>
      <c r="E462" s="513">
        <v>0.76</v>
      </c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</row>
    <row r="463" spans="1:44" ht="12.75" thickTop="1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</row>
    <row r="464" spans="1:44" ht="12">
      <c r="A464" s="146"/>
      <c r="B464" s="146"/>
      <c r="C464" s="146"/>
      <c r="D464" s="146"/>
      <c r="E464" s="146"/>
      <c r="F464" s="146"/>
      <c r="G464" s="146"/>
      <c r="H464" s="146"/>
      <c r="I464" s="146"/>
      <c r="J464" s="146"/>
      <c r="K464" s="146"/>
      <c r="L464" s="146"/>
      <c r="M464" s="146"/>
      <c r="N464" s="146"/>
      <c r="O464" s="146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</row>
    <row r="465" spans="1:44" ht="12">
      <c r="A465" s="29" t="s">
        <v>672</v>
      </c>
      <c r="E465"/>
      <c r="F465"/>
      <c r="G465"/>
      <c r="H465"/>
      <c r="I465"/>
      <c r="J465"/>
      <c r="K465"/>
      <c r="L465"/>
      <c r="M465"/>
      <c r="N465"/>
      <c r="O465"/>
      <c r="P465"/>
      <c r="Q465" s="151" t="s">
        <v>654</v>
      </c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</row>
    <row r="466" spans="1:44" ht="1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</row>
    <row r="467" spans="1:44" ht="14.25" thickBot="1">
      <c r="A467"/>
      <c r="B467" s="155" t="s">
        <v>69</v>
      </c>
      <c r="C467"/>
      <c r="D467"/>
      <c r="E467"/>
      <c r="F467"/>
      <c r="G467"/>
      <c r="H467"/>
      <c r="I467"/>
      <c r="J467" s="2" t="s">
        <v>28</v>
      </c>
      <c r="K467" s="435">
        <f>fMcr(B477,B474,B475,B472,B473,B468,B469,B470,B471,B476,5)</f>
        <v>0.005828128545510744</v>
      </c>
      <c r="L467" s="5" t="s">
        <v>86</v>
      </c>
      <c r="M467" t="s">
        <v>91</v>
      </c>
      <c r="O467"/>
      <c r="Q467" s="2" t="s">
        <v>113</v>
      </c>
      <c r="R467" s="2" t="s">
        <v>655</v>
      </c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</row>
    <row r="468" spans="1:44" ht="14.25" thickTop="1">
      <c r="A468" s="2" t="s">
        <v>0</v>
      </c>
      <c r="B468" s="483">
        <v>1.2</v>
      </c>
      <c r="C468" s="5" t="s">
        <v>11</v>
      </c>
      <c r="D468" s="5" t="s">
        <v>64</v>
      </c>
      <c r="E468"/>
      <c r="F468"/>
      <c r="G468"/>
      <c r="J468" s="2" t="s">
        <v>51</v>
      </c>
      <c r="K468" s="7">
        <f>fMcr(B477,B474,B475,B472,B473,B468,B469,B470,B471,B476,8)</f>
        <v>0.036595505963858216</v>
      </c>
      <c r="L468" s="5" t="s">
        <v>87</v>
      </c>
      <c r="M468" t="s">
        <v>92</v>
      </c>
      <c r="O468"/>
      <c r="Q468" s="2">
        <v>1</v>
      </c>
      <c r="R468" t="s">
        <v>656</v>
      </c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</row>
    <row r="469" spans="1:44" ht="13.5">
      <c r="A469" s="2" t="s">
        <v>25</v>
      </c>
      <c r="B469" s="484">
        <v>0.5</v>
      </c>
      <c r="C469" s="5" t="s">
        <v>11</v>
      </c>
      <c r="D469" s="5" t="s">
        <v>77</v>
      </c>
      <c r="E469"/>
      <c r="F469"/>
      <c r="G469"/>
      <c r="J469" s="2" t="s">
        <v>52</v>
      </c>
      <c r="K469" s="7">
        <f>fMcr(B477,B474,B475,B472,B473,B468,B469,B470,B471,B476,9)</f>
        <v>0.017104229083472852</v>
      </c>
      <c r="L469" s="5" t="s">
        <v>87</v>
      </c>
      <c r="M469" t="s">
        <v>92</v>
      </c>
      <c r="O469"/>
      <c r="Q469">
        <v>2</v>
      </c>
      <c r="R469" t="s">
        <v>657</v>
      </c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</row>
    <row r="470" spans="1:44" ht="13.5">
      <c r="A470" s="2" t="s">
        <v>40</v>
      </c>
      <c r="B470" s="484">
        <v>0.3</v>
      </c>
      <c r="C470" s="5" t="s">
        <v>11</v>
      </c>
      <c r="D470" s="5" t="s">
        <v>65</v>
      </c>
      <c r="E470"/>
      <c r="F470"/>
      <c r="G470"/>
      <c r="J470" s="2" t="s">
        <v>29</v>
      </c>
      <c r="K470" s="7">
        <f>fMcr(B477,B474,B475,B472,B473,B468,B469,B470,B471,B476,6)</f>
        <v>0.15925803980594266</v>
      </c>
      <c r="L470" s="5" t="s">
        <v>11</v>
      </c>
      <c r="M470" s="5" t="s">
        <v>665</v>
      </c>
      <c r="O470"/>
      <c r="Q470" s="2">
        <v>3</v>
      </c>
      <c r="R470" t="s">
        <v>658</v>
      </c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</row>
    <row r="471" spans="1:44" ht="13.5">
      <c r="A471" s="2" t="s">
        <v>41</v>
      </c>
      <c r="B471" s="484">
        <v>0.14</v>
      </c>
      <c r="C471" s="5" t="s">
        <v>11</v>
      </c>
      <c r="D471" s="5" t="s">
        <v>258</v>
      </c>
      <c r="E471"/>
      <c r="F471"/>
      <c r="G471"/>
      <c r="J471" s="2" t="s">
        <v>50</v>
      </c>
      <c r="K471" s="10">
        <f>fMcr(B477,B474,B475,B472,B473,B468,B469,B470,B471,B476,7)</f>
        <v>0.34074196019405734</v>
      </c>
      <c r="L471" s="5" t="s">
        <v>11</v>
      </c>
      <c r="M471" s="5" t="s">
        <v>666</v>
      </c>
      <c r="O471"/>
      <c r="Q471">
        <v>4</v>
      </c>
      <c r="R471" t="s">
        <v>659</v>
      </c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</row>
    <row r="472" spans="1:44" ht="12">
      <c r="A472" s="2" t="s">
        <v>33</v>
      </c>
      <c r="B472" s="484">
        <v>0.45</v>
      </c>
      <c r="C472" s="5" t="s">
        <v>11</v>
      </c>
      <c r="D472" s="5" t="s">
        <v>644</v>
      </c>
      <c r="E472"/>
      <c r="F472"/>
      <c r="G472"/>
      <c r="N472"/>
      <c r="O472"/>
      <c r="Q472" s="2">
        <v>5</v>
      </c>
      <c r="R472" t="s">
        <v>660</v>
      </c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</row>
    <row r="473" spans="1:44" ht="12">
      <c r="A473" s="2" t="s">
        <v>642</v>
      </c>
      <c r="B473" s="484">
        <v>0.45</v>
      </c>
      <c r="C473" s="5" t="s">
        <v>11</v>
      </c>
      <c r="D473" s="5" t="s">
        <v>645</v>
      </c>
      <c r="E473"/>
      <c r="F473"/>
      <c r="G473"/>
      <c r="J473" s="29" t="s">
        <v>667</v>
      </c>
      <c r="N473"/>
      <c r="O473"/>
      <c r="Q473">
        <v>6</v>
      </c>
      <c r="R473" s="5" t="s">
        <v>664</v>
      </c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</row>
    <row r="474" spans="1:44" ht="13.5">
      <c r="A474" s="2" t="s">
        <v>630</v>
      </c>
      <c r="B474" s="534">
        <v>0</v>
      </c>
      <c r="C474" s="5" t="s">
        <v>13</v>
      </c>
      <c r="D474" s="5" t="s">
        <v>646</v>
      </c>
      <c r="E474"/>
      <c r="F474"/>
      <c r="G474"/>
      <c r="K474" s="19" t="s">
        <v>30</v>
      </c>
      <c r="L474" s="19" t="s">
        <v>285</v>
      </c>
      <c r="N474"/>
      <c r="O474"/>
      <c r="Q474" s="2">
        <v>7</v>
      </c>
      <c r="R474" s="5" t="s">
        <v>663</v>
      </c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</row>
    <row r="475" spans="1:44" ht="13.5">
      <c r="A475" s="2" t="s">
        <v>629</v>
      </c>
      <c r="B475" s="534">
        <v>15.46</v>
      </c>
      <c r="C475" s="5" t="s">
        <v>13</v>
      </c>
      <c r="D475" s="5" t="s">
        <v>647</v>
      </c>
      <c r="E475"/>
      <c r="F475"/>
      <c r="G475"/>
      <c r="J475" s="2" t="s">
        <v>651</v>
      </c>
      <c r="K475" s="417">
        <f>0.3*B476^(2/3)</f>
        <v>2.5649639200150443</v>
      </c>
      <c r="L475" s="417">
        <f>IF(B469&lt;0.6,(1.6-B469)*K475)</f>
        <v>2.821460312016549</v>
      </c>
      <c r="M475" s="5" t="s">
        <v>10</v>
      </c>
      <c r="N475"/>
      <c r="O475"/>
      <c r="Q475">
        <v>8</v>
      </c>
      <c r="R475" t="s">
        <v>661</v>
      </c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</row>
    <row r="476" spans="1:44" ht="13.5">
      <c r="A476" s="2" t="s">
        <v>14</v>
      </c>
      <c r="B476" s="484">
        <v>25</v>
      </c>
      <c r="C476" s="5" t="s">
        <v>10</v>
      </c>
      <c r="D476" s="5" t="s">
        <v>648</v>
      </c>
      <c r="E476"/>
      <c r="F476"/>
      <c r="G476"/>
      <c r="J476" s="2" t="s">
        <v>652</v>
      </c>
      <c r="K476" s="80">
        <f>fMcr(B477,B474,B475,B472,B473,B468,B469,B470,B471,B476,1)</f>
        <v>43.87173047877987</v>
      </c>
      <c r="L476" s="80">
        <f>fMcr(B477,B474,B475,B472,B473,B468,B469,B470,B471,B476,3)</f>
        <v>48.25890352665786</v>
      </c>
      <c r="M476" t="s">
        <v>12</v>
      </c>
      <c r="N476" t="s">
        <v>650</v>
      </c>
      <c r="O476"/>
      <c r="Q476" s="2">
        <v>9</v>
      </c>
      <c r="R476" t="s">
        <v>662</v>
      </c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</row>
    <row r="477" spans="1:44" ht="14.25" thickBot="1">
      <c r="A477" s="144" t="s">
        <v>643</v>
      </c>
      <c r="B477" s="486">
        <v>14</v>
      </c>
      <c r="D477" s="5" t="s">
        <v>250</v>
      </c>
      <c r="E477"/>
      <c r="F477"/>
      <c r="G477"/>
      <c r="J477" s="2" t="s">
        <v>653</v>
      </c>
      <c r="K477" s="437">
        <f>fMcr(B477,B474,B475,B472,B473,B468,B469,B470,B471,B476,2)</f>
        <v>93.86615243199174</v>
      </c>
      <c r="L477" s="437">
        <f>fMcr(B477,B474,B475,B472,B473,B468,B469,B470,B471,B476,4)</f>
        <v>103.25276767519092</v>
      </c>
      <c r="M477" t="s">
        <v>12</v>
      </c>
      <c r="N477" t="s">
        <v>649</v>
      </c>
      <c r="O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</row>
    <row r="478" spans="7:44" ht="12.75" thickTop="1">
      <c r="G478"/>
      <c r="O478"/>
      <c r="P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</row>
    <row r="479" spans="5:44" ht="12">
      <c r="E479"/>
      <c r="F479"/>
      <c r="G479"/>
      <c r="H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</row>
    <row r="480" spans="1:44" ht="12">
      <c r="A480" s="146"/>
      <c r="B480" s="146"/>
      <c r="C480" s="146"/>
      <c r="D480" s="146"/>
      <c r="E480" s="146"/>
      <c r="F480" s="146"/>
      <c r="G480" s="146"/>
      <c r="H480" s="146"/>
      <c r="I480" s="146"/>
      <c r="J480" s="146"/>
      <c r="K480" s="146"/>
      <c r="L480" s="146"/>
      <c r="M480" s="146"/>
      <c r="N480" s="146"/>
      <c r="O480" s="146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</row>
    <row r="481" spans="1:44" ht="12">
      <c r="A481" s="29" t="s">
        <v>674</v>
      </c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</row>
    <row r="482" spans="1:44" ht="12">
      <c r="A482" t="s">
        <v>679</v>
      </c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 t="s">
        <v>691</v>
      </c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</row>
    <row r="483" spans="1:44" ht="13.5">
      <c r="A483" s="5" t="s">
        <v>696</v>
      </c>
      <c r="P483"/>
      <c r="Q483" t="s">
        <v>708</v>
      </c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</row>
    <row r="484" spans="15:44" ht="12">
      <c r="O484"/>
      <c r="P484"/>
      <c r="Q484" t="s">
        <v>689</v>
      </c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</row>
    <row r="485" spans="1:44" ht="12">
      <c r="A485"/>
      <c r="B485" s="155" t="s">
        <v>69</v>
      </c>
      <c r="C485"/>
      <c r="D485"/>
      <c r="E485"/>
      <c r="F485"/>
      <c r="G485"/>
      <c r="O485"/>
      <c r="P485"/>
      <c r="Q485" t="s">
        <v>690</v>
      </c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</row>
    <row r="486" spans="3:44" ht="12.75" thickBot="1">
      <c r="C486" s="1"/>
      <c r="D486" s="1"/>
      <c r="F486"/>
      <c r="G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</row>
    <row r="487" spans="1:44" ht="14.25" thickTop="1">
      <c r="A487" s="144" t="s">
        <v>76</v>
      </c>
      <c r="B487" s="493">
        <v>25</v>
      </c>
      <c r="C487" s="494">
        <v>15</v>
      </c>
      <c r="D487" s="494">
        <v>60</v>
      </c>
      <c r="E487" s="495">
        <v>60</v>
      </c>
      <c r="F487" s="5" t="s">
        <v>12</v>
      </c>
      <c r="G487" s="102" t="s">
        <v>697</v>
      </c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</row>
    <row r="488" spans="1:44" ht="13.5">
      <c r="A488" s="144" t="s">
        <v>610</v>
      </c>
      <c r="B488" s="496">
        <v>1000</v>
      </c>
      <c r="C488" s="497">
        <v>-600</v>
      </c>
      <c r="D488" s="497">
        <v>0</v>
      </c>
      <c r="E488" s="498">
        <v>400</v>
      </c>
      <c r="F488" s="5" t="s">
        <v>39</v>
      </c>
      <c r="G488" s="102" t="s">
        <v>692</v>
      </c>
      <c r="O488"/>
      <c r="P488"/>
      <c r="Q488"/>
      <c r="R488"/>
      <c r="S488" s="441">
        <v>1</v>
      </c>
      <c r="T488" s="13" t="s">
        <v>675</v>
      </c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</row>
    <row r="489" spans="1:44" ht="12">
      <c r="A489" s="2" t="s">
        <v>0</v>
      </c>
      <c r="B489" s="496">
        <v>1</v>
      </c>
      <c r="C489" s="497">
        <v>1</v>
      </c>
      <c r="D489" s="497">
        <v>1</v>
      </c>
      <c r="E489" s="498">
        <v>1</v>
      </c>
      <c r="F489" s="5" t="s">
        <v>11</v>
      </c>
      <c r="G489" s="102" t="s">
        <v>15</v>
      </c>
      <c r="O489"/>
      <c r="P489"/>
      <c r="Q489"/>
      <c r="R489"/>
      <c r="S489" s="117">
        <v>2</v>
      </c>
      <c r="T489" s="16" t="s">
        <v>676</v>
      </c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</row>
    <row r="490" spans="1:44" ht="12">
      <c r="A490" s="144" t="s">
        <v>25</v>
      </c>
      <c r="B490" s="496">
        <v>0.2</v>
      </c>
      <c r="C490" s="497">
        <v>0.2</v>
      </c>
      <c r="D490" s="497">
        <v>0.2</v>
      </c>
      <c r="E490" s="498">
        <v>0.2</v>
      </c>
      <c r="F490" s="5" t="s">
        <v>11</v>
      </c>
      <c r="G490" s="4" t="s">
        <v>693</v>
      </c>
      <c r="O490"/>
      <c r="P490"/>
      <c r="Q490"/>
      <c r="R490"/>
      <c r="S490" s="117">
        <v>3</v>
      </c>
      <c r="T490" s="16" t="s">
        <v>677</v>
      </c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</row>
    <row r="491" spans="1:44" ht="12">
      <c r="A491" s="144" t="s">
        <v>33</v>
      </c>
      <c r="B491" s="496">
        <v>0.18</v>
      </c>
      <c r="C491" s="497">
        <v>0.18</v>
      </c>
      <c r="D491" s="497">
        <v>0.18</v>
      </c>
      <c r="E491" s="498">
        <v>0.18</v>
      </c>
      <c r="F491" s="5" t="s">
        <v>11</v>
      </c>
      <c r="G491" s="4" t="s">
        <v>694</v>
      </c>
      <c r="O491"/>
      <c r="P491"/>
      <c r="Q491"/>
      <c r="R491"/>
      <c r="S491" s="128">
        <v>4</v>
      </c>
      <c r="T491" s="18" t="s">
        <v>678</v>
      </c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</row>
    <row r="492" spans="1:44" ht="12">
      <c r="A492" s="144" t="s">
        <v>642</v>
      </c>
      <c r="B492" s="496">
        <v>0.18</v>
      </c>
      <c r="C492" s="497">
        <v>0.18</v>
      </c>
      <c r="D492" s="497">
        <v>0.18</v>
      </c>
      <c r="E492" s="498">
        <v>0.18</v>
      </c>
      <c r="F492" s="5" t="s">
        <v>11</v>
      </c>
      <c r="G492" s="4" t="s">
        <v>695</v>
      </c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</row>
    <row r="493" spans="1:44" ht="12">
      <c r="A493" s="144" t="s">
        <v>31</v>
      </c>
      <c r="B493" s="496">
        <v>15</v>
      </c>
      <c r="C493" s="497">
        <v>15</v>
      </c>
      <c r="D493" s="497">
        <v>15</v>
      </c>
      <c r="E493" s="498">
        <v>15</v>
      </c>
      <c r="F493" s="5"/>
      <c r="G493" s="4" t="s">
        <v>250</v>
      </c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</row>
    <row r="494" spans="1:44" ht="13.5">
      <c r="A494" s="144" t="s">
        <v>630</v>
      </c>
      <c r="B494" s="496">
        <v>6</v>
      </c>
      <c r="C494" s="497">
        <v>6</v>
      </c>
      <c r="D494" s="497">
        <v>6</v>
      </c>
      <c r="E494" s="498">
        <v>6</v>
      </c>
      <c r="F494" s="4" t="s">
        <v>13</v>
      </c>
      <c r="G494" s="4" t="s">
        <v>78</v>
      </c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</row>
    <row r="495" spans="1:44" ht="13.5">
      <c r="A495" s="144" t="s">
        <v>629</v>
      </c>
      <c r="B495" s="496">
        <v>4</v>
      </c>
      <c r="C495" s="497">
        <v>4</v>
      </c>
      <c r="D495" s="497">
        <v>4</v>
      </c>
      <c r="E495" s="498">
        <v>4</v>
      </c>
      <c r="F495" s="4" t="s">
        <v>13</v>
      </c>
      <c r="G495" s="4" t="s">
        <v>79</v>
      </c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</row>
    <row r="496" spans="1:44" ht="14.25" thickBot="1">
      <c r="A496" s="144" t="s">
        <v>14</v>
      </c>
      <c r="B496" s="523">
        <v>25</v>
      </c>
      <c r="C496" s="499">
        <v>25</v>
      </c>
      <c r="D496" s="499">
        <v>25</v>
      </c>
      <c r="E496" s="500">
        <v>25</v>
      </c>
      <c r="F496" s="5" t="s">
        <v>10</v>
      </c>
      <c r="G496" s="4" t="s">
        <v>570</v>
      </c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</row>
    <row r="497" spans="1:44" ht="12.75" thickTop="1">
      <c r="A497" s="102"/>
      <c r="B497" s="102"/>
      <c r="C497" s="102"/>
      <c r="D497" s="102"/>
      <c r="E497" s="102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</row>
    <row r="498" spans="1:44" ht="12">
      <c r="A498" s="102"/>
      <c r="C498" s="1"/>
      <c r="D498" s="1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</row>
    <row r="499" spans="1:44" ht="12">
      <c r="A499"/>
      <c r="B499" s="88" t="s">
        <v>59</v>
      </c>
      <c r="C499" s="2"/>
      <c r="D499"/>
      <c r="E499"/>
      <c r="F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</row>
    <row r="500" spans="1:44" ht="12">
      <c r="A500"/>
      <c r="B500" s="1" t="str">
        <f>INDEX($T488:$T491,macf(B501,12),1)</f>
        <v>EC</v>
      </c>
      <c r="C500" s="1" t="str">
        <f>INDEX($T488:$T491,macf(C501,12),1)</f>
        <v>ET</v>
      </c>
      <c r="D500" s="1" t="str">
        <f>INDEX($T488:$T491,macf(D501,12),1)</f>
        <v>FS</v>
      </c>
      <c r="E500" s="1" t="str">
        <f>INDEX($T488:$T491,macf(E501,12),1)</f>
        <v>PT</v>
      </c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</row>
    <row r="501" spans="1:44" ht="13.5">
      <c r="A501" s="42" t="s">
        <v>688</v>
      </c>
      <c r="B501" s="439" t="str">
        <f>fxx2(B487,B488,B489,B490,B491,B492,B493,B494,B495,B496)</f>
        <v>310141340833017929133301137319330230431733031091033101286666310116815631019709743101657207310118331231024000003301100000000000000031014651163104131118000000000000000000000000000000</v>
      </c>
      <c r="C501" s="291" t="str">
        <f>fxx2(C487,C488,C489,C490,C491,C492,C493,C494,C495,C496)</f>
        <v>110117045400000000000000000000130365625013035156251301292968000000000000000000001301328125130125781211024000003301200000000000000000000000000000000000000000000000000000000000000000</v>
      </c>
      <c r="D501" s="291" t="str">
        <f>fxx2(D487,D488,D489,D490,D491,D492,D493,D494,D495,D496)</f>
        <v>310221801333021389220000000000130360936633031175231301122960330110419200000000001301304683310117017900000000003301300000000000000000000000003104504784000000000000000000000000000000</v>
      </c>
      <c r="E501" s="440" t="str">
        <f>fxx2(E487,E488,E489,E490,E491,E492,E493,E494,E495,E496)</f>
        <v>310213673733021440190000000000130331568033031569511101252000330110801400000000001301157840310112742831016666663301400000000000000000000000000000000000310313440811033593240000000000</v>
      </c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</row>
    <row r="502" spans="1:44" ht="12">
      <c r="A502">
        <v>1</v>
      </c>
      <c r="B502" s="172">
        <f aca="true" t="shared" si="63" ref="B502:E512">macf(B$501,$A502)</f>
        <v>0.24189178729003794</v>
      </c>
      <c r="C502" s="172">
        <f t="shared" si="63"/>
        <v>-0.5866685440060074</v>
      </c>
      <c r="D502" s="172">
        <f t="shared" si="63"/>
        <v>0.04586882433616344</v>
      </c>
      <c r="E502" s="172">
        <f t="shared" si="63"/>
        <v>0.07313309491944389</v>
      </c>
      <c r="F502" s="5" t="s">
        <v>11</v>
      </c>
      <c r="G502" s="5" t="s">
        <v>183</v>
      </c>
      <c r="H502" s="5" t="s">
        <v>546</v>
      </c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</row>
    <row r="503" spans="1:44" ht="13.5">
      <c r="A503">
        <v>2</v>
      </c>
      <c r="B503" s="46">
        <f t="shared" si="63"/>
        <v>7.929130000000001</v>
      </c>
      <c r="C503" s="46">
        <f t="shared" si="63"/>
        <v>0</v>
      </c>
      <c r="D503" s="46">
        <f t="shared" si="63"/>
        <v>13.8922</v>
      </c>
      <c r="E503" s="46">
        <f t="shared" si="63"/>
        <v>14.401900000000001</v>
      </c>
      <c r="F503" s="5" t="s">
        <v>10</v>
      </c>
      <c r="G503" s="438" t="s">
        <v>686</v>
      </c>
      <c r="H503" s="5" t="s">
        <v>698</v>
      </c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</row>
    <row r="504" spans="1:44" ht="13.5">
      <c r="A504">
        <v>3</v>
      </c>
      <c r="B504" s="46">
        <f t="shared" si="63"/>
        <v>1.3731900000000001</v>
      </c>
      <c r="C504" s="46">
        <f t="shared" si="63"/>
        <v>0</v>
      </c>
      <c r="D504" s="46">
        <f t="shared" si="63"/>
        <v>0</v>
      </c>
      <c r="E504" s="46">
        <f t="shared" si="63"/>
        <v>0</v>
      </c>
      <c r="F504" s="5" t="s">
        <v>10</v>
      </c>
      <c r="G504" s="438" t="s">
        <v>687</v>
      </c>
      <c r="H504" s="5" t="s">
        <v>699</v>
      </c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</row>
    <row r="505" spans="1:44" ht="13.5">
      <c r="A505">
        <v>4</v>
      </c>
      <c r="B505" s="46">
        <f t="shared" si="63"/>
        <v>30.431700000000003</v>
      </c>
      <c r="C505" s="46">
        <f t="shared" si="63"/>
        <v>-656.25</v>
      </c>
      <c r="D505" s="46">
        <f t="shared" si="63"/>
        <v>-609.366</v>
      </c>
      <c r="E505" s="46">
        <f t="shared" si="63"/>
        <v>-315.68</v>
      </c>
      <c r="F505" s="5" t="s">
        <v>10</v>
      </c>
      <c r="G505" s="438" t="s">
        <v>23</v>
      </c>
      <c r="H505" s="5" t="s">
        <v>700</v>
      </c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</row>
    <row r="506" spans="1:44" ht="13.5">
      <c r="A506">
        <v>5</v>
      </c>
      <c r="B506" s="46">
        <f t="shared" si="63"/>
        <v>109.10300000000001</v>
      </c>
      <c r="C506" s="46">
        <f t="shared" si="63"/>
        <v>-515.625</v>
      </c>
      <c r="D506" s="46">
        <f t="shared" si="63"/>
        <v>117.523</v>
      </c>
      <c r="E506" s="46">
        <f t="shared" si="63"/>
        <v>156.951</v>
      </c>
      <c r="F506" s="5" t="s">
        <v>10</v>
      </c>
      <c r="G506" s="438" t="s">
        <v>680</v>
      </c>
      <c r="H506" s="5" t="s">
        <v>701</v>
      </c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</row>
    <row r="507" spans="1:44" ht="13.5">
      <c r="A507">
        <v>6</v>
      </c>
      <c r="B507" s="46">
        <f t="shared" si="63"/>
        <v>0.34883802055353613</v>
      </c>
      <c r="C507" s="46">
        <f t="shared" si="63"/>
        <v>-2.9296800000000003</v>
      </c>
      <c r="D507" s="46">
        <f t="shared" si="63"/>
        <v>-1.2296</v>
      </c>
      <c r="E507" s="46">
        <f t="shared" si="63"/>
        <v>-0.3968253968253968</v>
      </c>
      <c r="F507" s="4" t="s">
        <v>9</v>
      </c>
      <c r="G507" s="438" t="s">
        <v>681</v>
      </c>
      <c r="H507" s="5" t="s">
        <v>702</v>
      </c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</row>
    <row r="508" spans="1:44" ht="13.5">
      <c r="A508">
        <v>7</v>
      </c>
      <c r="B508" s="46">
        <f t="shared" si="63"/>
        <v>0.5946858869145317</v>
      </c>
      <c r="C508" s="46">
        <f t="shared" si="63"/>
        <v>0</v>
      </c>
      <c r="D508" s="46">
        <f t="shared" si="63"/>
        <v>1.0419200000000002</v>
      </c>
      <c r="E508" s="46">
        <f t="shared" si="63"/>
        <v>1.08014</v>
      </c>
      <c r="F508" s="4" t="s">
        <v>9</v>
      </c>
      <c r="G508" s="438" t="s">
        <v>683</v>
      </c>
      <c r="H508" s="5" t="s">
        <v>703</v>
      </c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</row>
    <row r="509" spans="1:44" ht="13.5">
      <c r="A509">
        <v>8</v>
      </c>
      <c r="B509" s="46">
        <f t="shared" si="63"/>
        <v>0.10298936943728668</v>
      </c>
      <c r="C509" s="46">
        <f t="shared" si="63"/>
        <v>0</v>
      </c>
      <c r="D509" s="46">
        <f t="shared" si="63"/>
        <v>0</v>
      </c>
      <c r="E509" s="46">
        <f t="shared" si="63"/>
        <v>0</v>
      </c>
      <c r="F509" s="4" t="s">
        <v>9</v>
      </c>
      <c r="G509" s="438" t="s">
        <v>682</v>
      </c>
      <c r="H509" s="5" t="s">
        <v>704</v>
      </c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</row>
    <row r="510" spans="1:44" ht="13.5">
      <c r="A510">
        <v>9</v>
      </c>
      <c r="B510" s="46">
        <f t="shared" si="63"/>
        <v>0.15215906099600277</v>
      </c>
      <c r="C510" s="46">
        <f t="shared" si="63"/>
        <v>-3.2812500000000004</v>
      </c>
      <c r="D510" s="46">
        <f t="shared" si="63"/>
        <v>-3.0468300000000004</v>
      </c>
      <c r="E510" s="46">
        <f t="shared" si="63"/>
        <v>-1.5784</v>
      </c>
      <c r="F510" s="4" t="s">
        <v>9</v>
      </c>
      <c r="G510" s="438" t="s">
        <v>684</v>
      </c>
      <c r="H510" s="5" t="s">
        <v>705</v>
      </c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</row>
    <row r="511" spans="1:44" ht="13.5">
      <c r="A511">
        <v>10</v>
      </c>
      <c r="B511" s="46">
        <f t="shared" si="63"/>
        <v>0.5455180239155102</v>
      </c>
      <c r="C511" s="46">
        <f t="shared" si="63"/>
        <v>-2.57812</v>
      </c>
      <c r="D511" s="46">
        <f t="shared" si="63"/>
        <v>0.5876165684367636</v>
      </c>
      <c r="E511" s="46">
        <f t="shared" si="63"/>
        <v>0.7847568823178579</v>
      </c>
      <c r="F511" s="4" t="s">
        <v>9</v>
      </c>
      <c r="G511" s="438" t="s">
        <v>685</v>
      </c>
      <c r="H511" s="5" t="s">
        <v>706</v>
      </c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</row>
    <row r="512" spans="1:44" ht="13.5">
      <c r="A512">
        <v>11</v>
      </c>
      <c r="B512" s="184">
        <f t="shared" si="63"/>
        <v>0.025</v>
      </c>
      <c r="C512" s="184">
        <f t="shared" si="63"/>
        <v>-0.025</v>
      </c>
      <c r="D512" s="184">
        <f t="shared" si="63"/>
        <v>0</v>
      </c>
      <c r="E512" s="184">
        <f t="shared" si="63"/>
        <v>0.15000015000015</v>
      </c>
      <c r="F512" s="5" t="s">
        <v>11</v>
      </c>
      <c r="G512" s="5" t="s">
        <v>707</v>
      </c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</row>
    <row r="513" spans="1:44" ht="12">
      <c r="A513" s="52"/>
      <c r="B513" s="52"/>
      <c r="C513" s="53"/>
      <c r="D513" s="53"/>
      <c r="E513" s="52"/>
      <c r="F513" s="146"/>
      <c r="G513" s="52"/>
      <c r="H513" s="53"/>
      <c r="I513" s="52"/>
      <c r="J513" s="52"/>
      <c r="K513" s="146"/>
      <c r="L513" s="146"/>
      <c r="M513" s="146"/>
      <c r="N513" s="146"/>
      <c r="O513" s="146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</row>
    <row r="514" spans="1:44" ht="12">
      <c r="A514" s="88" t="s">
        <v>724</v>
      </c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</row>
    <row r="515" spans="1:44" ht="12">
      <c r="A515" t="s">
        <v>721</v>
      </c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</row>
    <row r="516" spans="1:44" ht="12.75" thickBot="1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</row>
    <row r="517" spans="1:44" ht="12.75" thickTop="1">
      <c r="A517"/>
      <c r="B517" s="2" t="s">
        <v>711</v>
      </c>
      <c r="C517" s="533">
        <f>MAX(B526:K526)+1</f>
        <v>4</v>
      </c>
      <c r="D517" t="s">
        <v>719</v>
      </c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</row>
    <row r="518" spans="1:44" ht="12">
      <c r="A518"/>
      <c r="B518" s="2" t="s">
        <v>712</v>
      </c>
      <c r="C518" s="484">
        <v>6</v>
      </c>
      <c r="D518" t="s">
        <v>718</v>
      </c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</row>
    <row r="519" spans="1:44" ht="13.5">
      <c r="A519"/>
      <c r="B519" s="3" t="s">
        <v>104</v>
      </c>
      <c r="C519" s="484">
        <v>1.35</v>
      </c>
      <c r="D519" t="s">
        <v>720</v>
      </c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</row>
    <row r="520" spans="1:44" ht="13.5">
      <c r="A520"/>
      <c r="B520" s="3" t="s">
        <v>105</v>
      </c>
      <c r="C520" s="484">
        <v>1.5</v>
      </c>
      <c r="D520" t="s">
        <v>725</v>
      </c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</row>
    <row r="521" spans="1:44" ht="12">
      <c r="A521"/>
      <c r="B521" s="2" t="s">
        <v>127</v>
      </c>
      <c r="C521" s="484">
        <v>2</v>
      </c>
      <c r="D521" t="s">
        <v>722</v>
      </c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</row>
    <row r="522" spans="1:44" ht="12">
      <c r="A522"/>
      <c r="B522" s="2" t="s">
        <v>299</v>
      </c>
      <c r="C522" s="484">
        <v>0</v>
      </c>
      <c r="D522" s="387" t="s">
        <v>713</v>
      </c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</row>
    <row r="523" spans="1:44" ht="14.25" thickBot="1">
      <c r="A523"/>
      <c r="B523" s="2" t="s">
        <v>714</v>
      </c>
      <c r="C523" s="486">
        <v>1</v>
      </c>
      <c r="D523" s="387" t="s">
        <v>726</v>
      </c>
      <c r="E523"/>
      <c r="F523"/>
      <c r="G523"/>
      <c r="H523"/>
      <c r="I523"/>
      <c r="J523"/>
      <c r="K523"/>
      <c r="L523"/>
      <c r="M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</row>
    <row r="524" spans="1:44" ht="12.75" thickTop="1">
      <c r="A524"/>
      <c r="B524" s="2"/>
      <c r="C524" s="387"/>
      <c r="D524" s="387"/>
      <c r="E524"/>
      <c r="F524"/>
      <c r="G524"/>
      <c r="H524"/>
      <c r="I524"/>
      <c r="J524"/>
      <c r="K524"/>
      <c r="L524"/>
      <c r="M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</row>
    <row r="525" spans="1:44" ht="12">
      <c r="A525"/>
      <c r="B525" s="2"/>
      <c r="C525" s="387"/>
      <c r="D525" s="387"/>
      <c r="E525"/>
      <c r="F525"/>
      <c r="G525"/>
      <c r="H525"/>
      <c r="I525"/>
      <c r="J525"/>
      <c r="K525"/>
      <c r="L525"/>
      <c r="M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</row>
    <row r="526" spans="1:44" ht="12.75" thickBot="1">
      <c r="A526" s="442"/>
      <c r="B526" s="43">
        <v>1</v>
      </c>
      <c r="C526" s="43">
        <f>IF(C527=0,"",B526+1)</f>
        <v>2</v>
      </c>
      <c r="D526" s="43">
        <f aca="true" t="shared" si="64" ref="D526:K526">IF(D527=0,"",C526+1)</f>
        <v>3</v>
      </c>
      <c r="E526" s="43">
        <f t="shared" si="64"/>
      </c>
      <c r="F526" s="43">
        <f t="shared" si="64"/>
      </c>
      <c r="G526" s="43">
        <f t="shared" si="64"/>
      </c>
      <c r="H526" s="43">
        <f t="shared" si="64"/>
      </c>
      <c r="I526" s="43">
        <f t="shared" si="64"/>
      </c>
      <c r="J526" s="43">
        <f t="shared" si="64"/>
      </c>
      <c r="K526" s="43">
        <f t="shared" si="64"/>
      </c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</row>
    <row r="527" spans="1:44" ht="14.25" thickTop="1">
      <c r="A527" s="149" t="s">
        <v>296</v>
      </c>
      <c r="B527" s="443">
        <v>6</v>
      </c>
      <c r="C527" s="444">
        <f aca="true" t="shared" si="65" ref="C527:D530">B527</f>
        <v>6</v>
      </c>
      <c r="D527" s="444">
        <f t="shared" si="65"/>
        <v>6</v>
      </c>
      <c r="E527" s="444"/>
      <c r="F527" s="444"/>
      <c r="G527" s="444"/>
      <c r="H527" s="444"/>
      <c r="I527" s="444"/>
      <c r="J527" s="444"/>
      <c r="K527" s="445"/>
      <c r="L527" s="151" t="s">
        <v>11</v>
      </c>
      <c r="M527" s="5" t="s">
        <v>710</v>
      </c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</row>
    <row r="528" spans="1:44" ht="12">
      <c r="A528" s="149" t="s">
        <v>25</v>
      </c>
      <c r="B528" s="446">
        <v>0.2</v>
      </c>
      <c r="C528" s="447">
        <f t="shared" si="65"/>
        <v>0.2</v>
      </c>
      <c r="D528" s="447">
        <f t="shared" si="65"/>
        <v>0.2</v>
      </c>
      <c r="E528" s="447"/>
      <c r="F528" s="447"/>
      <c r="G528" s="447"/>
      <c r="H528" s="447"/>
      <c r="I528" s="447"/>
      <c r="J528" s="447"/>
      <c r="K528" s="448"/>
      <c r="L528" s="151" t="s">
        <v>11</v>
      </c>
      <c r="M528" t="s">
        <v>693</v>
      </c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</row>
    <row r="529" spans="1:44" ht="13.5">
      <c r="A529" s="149" t="s">
        <v>18</v>
      </c>
      <c r="B529" s="446">
        <f>0.2*25+1</f>
        <v>6</v>
      </c>
      <c r="C529" s="447">
        <f t="shared" si="65"/>
        <v>6</v>
      </c>
      <c r="D529" s="447">
        <f t="shared" si="65"/>
        <v>6</v>
      </c>
      <c r="E529" s="447"/>
      <c r="F529" s="447"/>
      <c r="G529" s="447"/>
      <c r="H529" s="447"/>
      <c r="I529" s="447"/>
      <c r="J529" s="447"/>
      <c r="K529" s="448"/>
      <c r="L529" s="151" t="s">
        <v>727</v>
      </c>
      <c r="M529" s="5" t="s">
        <v>100</v>
      </c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</row>
    <row r="530" spans="1:44" ht="13.5">
      <c r="A530" s="149" t="s">
        <v>93</v>
      </c>
      <c r="B530" s="446">
        <v>5</v>
      </c>
      <c r="C530" s="447">
        <f t="shared" si="65"/>
        <v>5</v>
      </c>
      <c r="D530" s="447">
        <f t="shared" si="65"/>
        <v>5</v>
      </c>
      <c r="E530" s="447"/>
      <c r="F530" s="447"/>
      <c r="G530" s="447"/>
      <c r="H530" s="447"/>
      <c r="I530" s="447"/>
      <c r="J530" s="447"/>
      <c r="K530" s="448"/>
      <c r="L530" s="151" t="s">
        <v>727</v>
      </c>
      <c r="M530" s="5" t="s">
        <v>101</v>
      </c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</row>
    <row r="531" spans="1:44" ht="12.75" thickBot="1">
      <c r="A531" s="449" t="s">
        <v>715</v>
      </c>
      <c r="B531" s="496">
        <v>1</v>
      </c>
      <c r="C531" s="497">
        <v>1</v>
      </c>
      <c r="D531" s="497">
        <v>1</v>
      </c>
      <c r="E531" s="497"/>
      <c r="F531" s="531"/>
      <c r="G531" s="531"/>
      <c r="H531" s="531"/>
      <c r="I531" s="531"/>
      <c r="J531" s="531"/>
      <c r="K531" s="532"/>
      <c r="L531" s="450" t="s">
        <v>717</v>
      </c>
      <c r="M531" s="5" t="s">
        <v>91</v>
      </c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</row>
    <row r="532" spans="1:44" ht="15" thickBot="1" thickTop="1">
      <c r="A532" s="144" t="s">
        <v>728</v>
      </c>
      <c r="B532" s="451">
        <v>0.3</v>
      </c>
      <c r="C532" s="452">
        <f>B532</f>
        <v>0.3</v>
      </c>
      <c r="D532" s="452">
        <f>C532</f>
        <v>0.3</v>
      </c>
      <c r="E532" s="452">
        <f>D532</f>
        <v>0.3</v>
      </c>
      <c r="F532" s="452"/>
      <c r="G532" s="452"/>
      <c r="H532" s="452"/>
      <c r="I532" s="452"/>
      <c r="J532" s="452"/>
      <c r="K532" s="453"/>
      <c r="L532" s="454"/>
      <c r="M532" s="91" t="s">
        <v>716</v>
      </c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</row>
    <row r="533" spans="1:44" ht="12.75" thickTop="1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</row>
    <row r="534" spans="1:44" ht="12">
      <c r="A534"/>
      <c r="B534"/>
      <c r="C534"/>
      <c r="D534"/>
      <c r="E534"/>
      <c r="H534" s="1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</row>
    <row r="535" spans="1:44" ht="12">
      <c r="A535"/>
      <c r="B535" s="88" t="str">
        <f>"Exemple de résultats pour 6 tronçons de la travée "&amp;C521</f>
        <v>Exemple de résultats pour 6 tronçons de la travée 2</v>
      </c>
      <c r="C535"/>
      <c r="D535"/>
      <c r="E535"/>
      <c r="H535" s="1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</row>
    <row r="536" spans="1:44" ht="15">
      <c r="A536"/>
      <c r="B536" s="455"/>
      <c r="C536" s="19" t="s">
        <v>729</v>
      </c>
      <c r="D536" s="456" t="s">
        <v>730</v>
      </c>
      <c r="E536" s="398" t="s">
        <v>731</v>
      </c>
      <c r="H536" s="1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</row>
    <row r="537" spans="1:44" ht="12">
      <c r="A537"/>
      <c r="B537" s="455">
        <v>1</v>
      </c>
      <c r="C537" s="6">
        <f>(B537-1)*INDEX(B527:K527,1,C521)/C518</f>
        <v>0</v>
      </c>
      <c r="D537" s="417">
        <f>macf(C546,B537)</f>
        <v>-28.944000000000003</v>
      </c>
      <c r="E537" s="417">
        <f>macf(C546,B537+C518+1)</f>
        <v>-59.6259</v>
      </c>
      <c r="H537" s="1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</row>
    <row r="538" spans="1:44" ht="12">
      <c r="A538"/>
      <c r="B538" s="455">
        <v>2</v>
      </c>
      <c r="C538" s="7">
        <f>(B538-1)*INDEX(B527:K527,1,C521)/C518</f>
        <v>1</v>
      </c>
      <c r="D538" s="8">
        <f>macf(C546,B538)</f>
        <v>0.9310033423019988</v>
      </c>
      <c r="E538" s="8">
        <f>macf(C546,B538+C518+1)</f>
        <v>-22.8309</v>
      </c>
      <c r="H538" s="1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</row>
    <row r="539" spans="1:44" ht="12">
      <c r="A539"/>
      <c r="B539" s="455">
        <v>3</v>
      </c>
      <c r="C539" s="7">
        <f>(B539-1)*INDEX(B527:K527,1,C521)/C518</f>
        <v>2</v>
      </c>
      <c r="D539" s="8">
        <f>macf(C546,B539)</f>
        <v>21.6066</v>
      </c>
      <c r="E539" s="8">
        <f>macf(C546,B539+C518+1)</f>
        <v>-11.649000000000001</v>
      </c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</row>
    <row r="540" spans="1:44" ht="12">
      <c r="A540"/>
      <c r="B540" s="455">
        <v>4</v>
      </c>
      <c r="C540" s="7">
        <f>(B540-1)*INDEX(B527:K527,1,C521)/C518</f>
        <v>3</v>
      </c>
      <c r="D540" s="8">
        <f>macf(C546,B540)</f>
        <v>29.4066</v>
      </c>
      <c r="E540" s="8">
        <f>macf(C546,B540+C518+1)</f>
        <v>-8.649000000000001</v>
      </c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</row>
    <row r="541" spans="1:44" ht="12">
      <c r="A541"/>
      <c r="B541" s="455">
        <v>5</v>
      </c>
      <c r="C541" s="7">
        <f>(B541-1)*INDEX(B527:K527,1,C521)/C518</f>
        <v>4</v>
      </c>
      <c r="D541" s="8">
        <f>macf(C546,B541)</f>
        <v>21.6066</v>
      </c>
      <c r="E541" s="8">
        <f>macf(C546,B541+C518+1)</f>
        <v>-11.649000000000001</v>
      </c>
      <c r="F541"/>
      <c r="G541"/>
      <c r="H541" s="457"/>
      <c r="I541" s="457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</row>
    <row r="542" spans="1:44" ht="12">
      <c r="A542"/>
      <c r="B542" s="455">
        <v>6</v>
      </c>
      <c r="C542" s="7">
        <f>(B542-1)*INDEX(B527:K527,1,C521)/C518</f>
        <v>5</v>
      </c>
      <c r="D542" s="8">
        <f>macf(C546,B542)</f>
        <v>0.9310033423019988</v>
      </c>
      <c r="E542" s="8">
        <f>macf(C546,B542+C518+1)</f>
        <v>-22.8309</v>
      </c>
      <c r="F542"/>
      <c r="G542"/>
      <c r="H542" s="247"/>
      <c r="I542" s="247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</row>
    <row r="543" spans="1:44" ht="12">
      <c r="A543"/>
      <c r="B543" s="455">
        <v>7</v>
      </c>
      <c r="C543" s="10">
        <f>(B543-1)*INDEX(B527:K527,1,C521)/C518</f>
        <v>6</v>
      </c>
      <c r="D543" s="404">
        <f>macf(C546,B543)</f>
        <v>-28.944000000000003</v>
      </c>
      <c r="E543" s="404">
        <f>macf(C546,B543+C518+1)</f>
        <v>-59.6259</v>
      </c>
      <c r="F543"/>
      <c r="G543"/>
      <c r="H543" s="247"/>
      <c r="I543" s="247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</row>
    <row r="544" spans="1:44" ht="12">
      <c r="A544"/>
      <c r="B544"/>
      <c r="C544"/>
      <c r="D544"/>
      <c r="E544"/>
      <c r="F544"/>
      <c r="G544"/>
      <c r="H544" s="247"/>
      <c r="I544" s="247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</row>
    <row r="545" spans="1:44" ht="12">
      <c r="A545"/>
      <c r="B545"/>
      <c r="C545"/>
      <c r="D545"/>
      <c r="E545"/>
      <c r="F545"/>
      <c r="G545"/>
      <c r="H545"/>
      <c r="I545"/>
      <c r="J545"/>
      <c r="K545"/>
      <c r="L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</row>
    <row r="546" spans="1:44" ht="12">
      <c r="A546"/>
      <c r="B546" t="s">
        <v>460</v>
      </c>
      <c r="C546" s="458" t="str">
        <f>f3mom(C517,C518,B527:K527,B528:K528,B532:L532,B529:K529,B530:K530,C521,C522,C523,C519,C520,B531:K531)</f>
        <v>13022894403101107411330221606633022940663302216066310110741113022894401302596259130222830913021164901301864900130211649013022283091302596259330229406600000000000000000000</v>
      </c>
      <c r="D546"/>
      <c r="E546"/>
      <c r="F546"/>
      <c r="G546"/>
      <c r="H546" t="s">
        <v>75</v>
      </c>
      <c r="I546"/>
      <c r="J546"/>
      <c r="K546"/>
      <c r="L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</row>
    <row r="547" spans="1:44" ht="15">
      <c r="A547"/>
      <c r="B547"/>
      <c r="C547"/>
      <c r="D547"/>
      <c r="E547"/>
      <c r="F547"/>
      <c r="G547" s="441"/>
      <c r="H547" s="459" t="s">
        <v>730</v>
      </c>
      <c r="I547" s="460" t="s">
        <v>731</v>
      </c>
      <c r="J547" s="112" t="s">
        <v>141</v>
      </c>
      <c r="K547" s="113" t="s">
        <v>723</v>
      </c>
      <c r="L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</row>
    <row r="548" spans="1:44" ht="12">
      <c r="A548"/>
      <c r="B548" s="2" t="s">
        <v>460</v>
      </c>
      <c r="C548"/>
      <c r="D548"/>
      <c r="E548"/>
      <c r="F548"/>
      <c r="G548" s="14">
        <f aca="true" t="shared" si="66" ref="G548:I554">C537</f>
        <v>0</v>
      </c>
      <c r="H548" s="457">
        <f t="shared" si="66"/>
        <v>-28.944000000000003</v>
      </c>
      <c r="I548" s="457">
        <f t="shared" si="66"/>
        <v>-59.6259</v>
      </c>
      <c r="J548" s="115"/>
      <c r="K548" s="116"/>
      <c r="L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</row>
    <row r="549" spans="1:44" ht="13.5">
      <c r="A549"/>
      <c r="B549" s="2" t="s">
        <v>460</v>
      </c>
      <c r="C549" s="2" t="s">
        <v>732</v>
      </c>
      <c r="D549" s="19">
        <f>MIN(INDEX(B528:K528,1,C521),INDEX(B532:L532,1,C521))/2</f>
        <v>0.1</v>
      </c>
      <c r="E549"/>
      <c r="F549"/>
      <c r="G549" s="14">
        <f t="shared" si="66"/>
        <v>1</v>
      </c>
      <c r="H549" s="457">
        <f t="shared" si="66"/>
        <v>0.9310033423019988</v>
      </c>
      <c r="I549" s="457">
        <f t="shared" si="66"/>
        <v>-22.8309</v>
      </c>
      <c r="J549" s="115"/>
      <c r="K549" s="116"/>
      <c r="L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</row>
    <row r="550" spans="1:44" ht="13.5">
      <c r="A550"/>
      <c r="B550" s="2" t="s">
        <v>460</v>
      </c>
      <c r="C550" s="2" t="s">
        <v>733</v>
      </c>
      <c r="D550" s="19">
        <f>MIN(INDEX(B528:K528,1,C521),INDEX(B532:L532,1,C521+1))/2</f>
        <v>0.1</v>
      </c>
      <c r="E550"/>
      <c r="F550"/>
      <c r="G550" s="14">
        <f t="shared" si="66"/>
        <v>2</v>
      </c>
      <c r="H550" s="457">
        <f t="shared" si="66"/>
        <v>21.6066</v>
      </c>
      <c r="I550" s="457">
        <f t="shared" si="66"/>
        <v>-11.649000000000001</v>
      </c>
      <c r="J550" s="115"/>
      <c r="K550" s="116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</row>
    <row r="551" spans="1:44" ht="12">
      <c r="A551"/>
      <c r="B551" s="2" t="s">
        <v>460</v>
      </c>
      <c r="C551"/>
      <c r="D551"/>
      <c r="E551"/>
      <c r="F551"/>
      <c r="G551" s="14">
        <f t="shared" si="66"/>
        <v>3</v>
      </c>
      <c r="H551" s="457">
        <f t="shared" si="66"/>
        <v>29.4066</v>
      </c>
      <c r="I551" s="457">
        <f t="shared" si="66"/>
        <v>-8.649000000000001</v>
      </c>
      <c r="J551" s="115"/>
      <c r="K551" s="116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</row>
    <row r="552" spans="1:44" ht="12">
      <c r="A552"/>
      <c r="B552" s="2" t="s">
        <v>460</v>
      </c>
      <c r="C552"/>
      <c r="D552"/>
      <c r="E552"/>
      <c r="F552"/>
      <c r="G552" s="14">
        <f t="shared" si="66"/>
        <v>4</v>
      </c>
      <c r="H552" s="457">
        <f t="shared" si="66"/>
        <v>21.6066</v>
      </c>
      <c r="I552" s="457">
        <f t="shared" si="66"/>
        <v>-11.649000000000001</v>
      </c>
      <c r="J552" s="15"/>
      <c r="K552" s="461"/>
      <c r="L552" s="46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</row>
    <row r="553" spans="1:44" ht="12">
      <c r="A553"/>
      <c r="B553" s="2" t="s">
        <v>460</v>
      </c>
      <c r="C553"/>
      <c r="D553"/>
      <c r="E553"/>
      <c r="F553"/>
      <c r="G553" s="14">
        <f t="shared" si="66"/>
        <v>5</v>
      </c>
      <c r="H553" s="457">
        <f t="shared" si="66"/>
        <v>0.9310033423019988</v>
      </c>
      <c r="I553" s="457">
        <f t="shared" si="66"/>
        <v>-22.8309</v>
      </c>
      <c r="J553" s="115"/>
      <c r="K553" s="116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</row>
    <row r="554" spans="1:44" ht="12">
      <c r="A554"/>
      <c r="B554" s="2" t="s">
        <v>460</v>
      </c>
      <c r="C554"/>
      <c r="D554"/>
      <c r="E554"/>
      <c r="F554"/>
      <c r="G554" s="14">
        <f t="shared" si="66"/>
        <v>6</v>
      </c>
      <c r="H554" s="457">
        <f t="shared" si="66"/>
        <v>-28.944000000000003</v>
      </c>
      <c r="I554" s="457">
        <f t="shared" si="66"/>
        <v>-59.6259</v>
      </c>
      <c r="J554" s="115"/>
      <c r="K554" s="116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</row>
    <row r="555" spans="1:44" ht="12">
      <c r="A555"/>
      <c r="B555" s="2" t="s">
        <v>460</v>
      </c>
      <c r="C555"/>
      <c r="D555"/>
      <c r="E555"/>
      <c r="F555"/>
      <c r="G555" s="14"/>
      <c r="H555" s="15"/>
      <c r="I555" s="15"/>
      <c r="J555" s="15"/>
      <c r="K555" s="16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</row>
    <row r="556" spans="1:44" ht="12">
      <c r="A556"/>
      <c r="B556"/>
      <c r="C556"/>
      <c r="D556"/>
      <c r="E556"/>
      <c r="F556"/>
      <c r="G556" s="14">
        <f>-D549</f>
        <v>-0.1</v>
      </c>
      <c r="H556" s="15"/>
      <c r="I556" s="15"/>
      <c r="J556" s="15">
        <v>0</v>
      </c>
      <c r="K556" s="1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</row>
    <row r="557" spans="1:44" ht="12">
      <c r="A557"/>
      <c r="B557"/>
      <c r="C557"/>
      <c r="D557"/>
      <c r="E557"/>
      <c r="F557"/>
      <c r="G557" s="14">
        <f>INDEX(B527:K527,1,C521)+D549</f>
        <v>6.1</v>
      </c>
      <c r="H557" s="15"/>
      <c r="I557" s="15"/>
      <c r="J557" s="15">
        <v>0</v>
      </c>
      <c r="K557" s="16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</row>
    <row r="558" spans="1:44" ht="12">
      <c r="A558"/>
      <c r="B558"/>
      <c r="C558"/>
      <c r="D558"/>
      <c r="E558"/>
      <c r="F558"/>
      <c r="G558" s="14"/>
      <c r="H558" s="15"/>
      <c r="I558" s="15"/>
      <c r="J558" s="15"/>
      <c r="K558" s="16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</row>
    <row r="559" spans="1:44" ht="12">
      <c r="A559"/>
      <c r="B559"/>
      <c r="C559"/>
      <c r="D559"/>
      <c r="E559"/>
      <c r="F559"/>
      <c r="G559" s="14">
        <v>0</v>
      </c>
      <c r="H559" s="15"/>
      <c r="I559" s="15"/>
      <c r="J559" s="115"/>
      <c r="K559" s="461">
        <f>I548</f>
        <v>-59.6259</v>
      </c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</row>
    <row r="560" spans="1:44" ht="12">
      <c r="A560"/>
      <c r="B560"/>
      <c r="C560"/>
      <c r="D560"/>
      <c r="E560"/>
      <c r="F560"/>
      <c r="G560" s="14">
        <v>0</v>
      </c>
      <c r="H560" s="15"/>
      <c r="I560" s="15"/>
      <c r="J560" s="115"/>
      <c r="K560" s="16">
        <v>0</v>
      </c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</row>
    <row r="561" spans="1:44" ht="12">
      <c r="A561"/>
      <c r="B561"/>
      <c r="C561"/>
      <c r="D561"/>
      <c r="E561"/>
      <c r="F561"/>
      <c r="G561" s="14"/>
      <c r="H561" s="15"/>
      <c r="I561" s="15"/>
      <c r="J561" s="115"/>
      <c r="K561" s="16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</row>
    <row r="562" spans="1:44" ht="12">
      <c r="A562"/>
      <c r="B562"/>
      <c r="C562"/>
      <c r="D562"/>
      <c r="E562"/>
      <c r="F562"/>
      <c r="G562" s="14">
        <f>INDEX(B527:K527,1,C521)</f>
        <v>6</v>
      </c>
      <c r="H562" s="15"/>
      <c r="I562" s="15"/>
      <c r="J562" s="115"/>
      <c r="K562" s="16">
        <v>0</v>
      </c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</row>
    <row r="563" spans="1:44" ht="12">
      <c r="A563"/>
      <c r="B563"/>
      <c r="C563"/>
      <c r="D563"/>
      <c r="E563"/>
      <c r="F563"/>
      <c r="G563" s="17">
        <f>G562</f>
        <v>6</v>
      </c>
      <c r="H563" s="310"/>
      <c r="I563" s="310"/>
      <c r="J563" s="118"/>
      <c r="K563" s="463">
        <f>I554</f>
        <v>-59.6259</v>
      </c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</row>
    <row r="564" spans="1:44" ht="12">
      <c r="A564"/>
      <c r="B564"/>
      <c r="C564"/>
      <c r="D564"/>
      <c r="E564"/>
      <c r="F564"/>
      <c r="H564" s="1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</row>
    <row r="565" spans="1:44" ht="12">
      <c r="A565"/>
      <c r="B565"/>
      <c r="C565"/>
      <c r="D565"/>
      <c r="E565"/>
      <c r="F565"/>
      <c r="H565" s="1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</row>
    <row r="566" spans="1:44" ht="12">
      <c r="A566" s="52"/>
      <c r="B566" s="52"/>
      <c r="C566" s="53"/>
      <c r="D566" s="53"/>
      <c r="E566" s="52"/>
      <c r="F566" s="146"/>
      <c r="G566" s="52"/>
      <c r="H566" s="53"/>
      <c r="I566" s="52"/>
      <c r="J566" s="52"/>
      <c r="K566" s="146"/>
      <c r="L566" s="146"/>
      <c r="M566" s="14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</row>
    <row r="567" spans="1:44" ht="12">
      <c r="A567" s="29" t="s">
        <v>738</v>
      </c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</row>
    <row r="568" spans="1:44" ht="1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</row>
    <row r="569" spans="5:44" ht="12"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</row>
    <row r="570" spans="5:44" ht="12.75" thickBot="1"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</row>
    <row r="571" spans="1:44" ht="12.75" thickTop="1">
      <c r="A571" s="2" t="s">
        <v>623</v>
      </c>
      <c r="B571" s="528">
        <v>-0.3</v>
      </c>
      <c r="C571" s="494">
        <v>0</v>
      </c>
      <c r="D571" s="495">
        <v>-1</v>
      </c>
      <c r="E571" s="5" t="s">
        <v>166</v>
      </c>
      <c r="F571" t="s">
        <v>759</v>
      </c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</row>
    <row r="572" spans="1:44" ht="12">
      <c r="A572" s="2" t="s">
        <v>218</v>
      </c>
      <c r="B572" s="529">
        <v>1</v>
      </c>
      <c r="C572" s="497">
        <v>0.3</v>
      </c>
      <c r="D572" s="498">
        <v>0.1</v>
      </c>
      <c r="E572" s="5" t="s">
        <v>423</v>
      </c>
      <c r="F572" t="s">
        <v>758</v>
      </c>
      <c r="G572"/>
      <c r="H572"/>
      <c r="I572"/>
      <c r="J572" s="5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</row>
    <row r="573" spans="1:44" ht="14.25">
      <c r="A573" s="2" t="s">
        <v>236</v>
      </c>
      <c r="B573" s="496">
        <v>30</v>
      </c>
      <c r="C573" s="530">
        <v>10</v>
      </c>
      <c r="D573" s="498">
        <v>12</v>
      </c>
      <c r="E573" s="5" t="s">
        <v>13</v>
      </c>
      <c r="F573" t="s">
        <v>760</v>
      </c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</row>
    <row r="574" spans="1:44" ht="14.25">
      <c r="A574" s="2" t="s">
        <v>743</v>
      </c>
      <c r="B574" s="496"/>
      <c r="C574" s="497"/>
      <c r="D574" s="498">
        <v>10</v>
      </c>
      <c r="E574" s="5" t="s">
        <v>13</v>
      </c>
      <c r="F574" t="s">
        <v>761</v>
      </c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</row>
    <row r="575" spans="1:44" ht="12">
      <c r="A575" s="2" t="s">
        <v>33</v>
      </c>
      <c r="B575" s="496">
        <v>0.92</v>
      </c>
      <c r="C575" s="497">
        <v>0.92</v>
      </c>
      <c r="D575" s="498">
        <v>0.92</v>
      </c>
      <c r="E575" s="5" t="s">
        <v>11</v>
      </c>
      <c r="F575" t="s">
        <v>694</v>
      </c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</row>
    <row r="576" spans="1:44" ht="12">
      <c r="A576" s="2" t="s">
        <v>642</v>
      </c>
      <c r="B576" s="496">
        <v>0.05</v>
      </c>
      <c r="C576" s="497">
        <v>0.05</v>
      </c>
      <c r="D576" s="498">
        <v>0.05</v>
      </c>
      <c r="E576" s="5" t="s">
        <v>11</v>
      </c>
      <c r="F576" t="s">
        <v>695</v>
      </c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</row>
    <row r="577" spans="1:44" ht="13.5">
      <c r="A577" s="2" t="s">
        <v>31</v>
      </c>
      <c r="B577" s="496">
        <v>15</v>
      </c>
      <c r="C577" s="497">
        <v>15</v>
      </c>
      <c r="D577" s="498">
        <v>15</v>
      </c>
      <c r="E577" s="5"/>
      <c r="F577" t="s">
        <v>762</v>
      </c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</row>
    <row r="578" spans="1:44" ht="12">
      <c r="A578" s="2" t="s">
        <v>0</v>
      </c>
      <c r="B578" s="496">
        <v>0.8</v>
      </c>
      <c r="C578" s="497">
        <v>0.4</v>
      </c>
      <c r="D578" s="498">
        <v>0.4</v>
      </c>
      <c r="E578" s="5" t="s">
        <v>11</v>
      </c>
      <c r="F578" t="s">
        <v>64</v>
      </c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</row>
    <row r="579" spans="1:44" ht="12">
      <c r="A579" s="2" t="s">
        <v>25</v>
      </c>
      <c r="B579" s="496">
        <v>1</v>
      </c>
      <c r="C579" s="497">
        <v>1</v>
      </c>
      <c r="D579" s="498">
        <v>1</v>
      </c>
      <c r="E579" s="5" t="s">
        <v>11</v>
      </c>
      <c r="F579" t="s">
        <v>77</v>
      </c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</row>
    <row r="580" spans="1:44" ht="13.5">
      <c r="A580" s="2" t="s">
        <v>40</v>
      </c>
      <c r="B580" s="496">
        <v>0.3</v>
      </c>
      <c r="C580" s="497">
        <v>0</v>
      </c>
      <c r="D580" s="498">
        <v>0</v>
      </c>
      <c r="E580" s="5" t="s">
        <v>11</v>
      </c>
      <c r="F580" t="s">
        <v>763</v>
      </c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</row>
    <row r="581" spans="1:44" ht="13.5">
      <c r="A581" s="2" t="s">
        <v>41</v>
      </c>
      <c r="B581" s="496">
        <v>0.06</v>
      </c>
      <c r="C581" s="497">
        <v>0</v>
      </c>
      <c r="D581" s="498">
        <v>0</v>
      </c>
      <c r="E581" s="5" t="s">
        <v>11</v>
      </c>
      <c r="F581" t="s">
        <v>258</v>
      </c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</row>
    <row r="582" spans="1:44" ht="13.5">
      <c r="A582" s="3" t="s">
        <v>744</v>
      </c>
      <c r="B582" s="496">
        <v>16</v>
      </c>
      <c r="C582" s="497">
        <v>15</v>
      </c>
      <c r="D582" s="498">
        <v>15</v>
      </c>
      <c r="E582" s="5" t="s">
        <v>10</v>
      </c>
      <c r="F582" t="s">
        <v>764</v>
      </c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</row>
    <row r="583" spans="1:44" ht="14.25" thickBot="1">
      <c r="A583" s="3" t="s">
        <v>745</v>
      </c>
      <c r="B583" s="523">
        <v>400</v>
      </c>
      <c r="C583" s="499">
        <v>400</v>
      </c>
      <c r="D583" s="500">
        <v>400</v>
      </c>
      <c r="E583" s="5" t="s">
        <v>10</v>
      </c>
      <c r="F583" t="s">
        <v>765</v>
      </c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</row>
    <row r="584" spans="1:44" ht="12.75" thickTop="1">
      <c r="A584" s="2" t="s">
        <v>757</v>
      </c>
      <c r="B584" s="1" t="str">
        <f>IF(B571=0,"FS",IF(B586&lt;0,"FC.ET","FC.PT"))</f>
        <v>FC.PT</v>
      </c>
      <c r="C584" s="1" t="str">
        <f>IF(C571=0,"FS",IF(C586&lt;0,"FC.ET","FC.PT"))</f>
        <v>FS</v>
      </c>
      <c r="D584" s="1" t="str">
        <f>IF(D571=0,"FS",IF(D586&lt;0,"FC.ET","FC.PT"))</f>
        <v>FC.PT</v>
      </c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</row>
    <row r="585" spans="2:44" ht="12">
      <c r="B585" s="464" t="str">
        <f>fcels(B571,B572,B573,B574,B575,B576,B577,B578,B579,B580,B581,B582,B583,1)</f>
        <v>3302139193130339939333031757363302112750330233484600000000003101316618110116427800000000000000000000</v>
      </c>
      <c r="C585" s="464" t="str">
        <f>fcels(C571,C572,C573,C574,C575,C576,C577,C578,C579,C580,C581,C582,C583,1)</f>
        <v>3301779988130335542833029132290000000000330210000000000000003101438901110114310700000000000000000000</v>
      </c>
      <c r="D585" s="465" t="str">
        <f>fcels(D571,D572,D573,D574,D575,D576,D577,D578,D579,D580,D581,D582,D583,1)</f>
        <v>0000000000130340000013033678160000000000330215804533021000000000000000130119408100000000000000000000</v>
      </c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</row>
    <row r="586" spans="1:44" ht="13.5">
      <c r="A586" s="3" t="s">
        <v>38</v>
      </c>
      <c r="B586" s="417">
        <f>macf(B585,1)</f>
        <v>13.9193</v>
      </c>
      <c r="C586" s="417">
        <f>macf(C585,1)</f>
        <v>7.799880000000001</v>
      </c>
      <c r="D586" s="417">
        <f>macf(D585,1)</f>
        <v>0</v>
      </c>
      <c r="E586" s="5" t="s">
        <v>10</v>
      </c>
      <c r="F586" t="s">
        <v>83</v>
      </c>
      <c r="G586"/>
      <c r="H586"/>
      <c r="I586" s="349" t="s">
        <v>742</v>
      </c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</row>
    <row r="587" spans="1:44" ht="13.5">
      <c r="A587" s="3" t="s">
        <v>23</v>
      </c>
      <c r="B587" s="271">
        <f>macf(B585,2)</f>
        <v>-399.39300000000003</v>
      </c>
      <c r="C587" s="271">
        <f>macf(C585,2)</f>
        <v>-355.428</v>
      </c>
      <c r="D587" s="271">
        <f>macf(D585,2)</f>
        <v>-400</v>
      </c>
      <c r="E587" s="5" t="s">
        <v>10</v>
      </c>
      <c r="F587" t="s">
        <v>700</v>
      </c>
      <c r="G587"/>
      <c r="H587"/>
      <c r="I587" s="349" t="s">
        <v>740</v>
      </c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</row>
    <row r="588" spans="1:44" ht="13.5">
      <c r="A588" s="3" t="s">
        <v>680</v>
      </c>
      <c r="B588" s="271">
        <f>macf(B585,3)</f>
        <v>175.736</v>
      </c>
      <c r="C588" s="271">
        <f>macf(C585,3)</f>
        <v>91.3229</v>
      </c>
      <c r="D588" s="271">
        <f>macf(D585,3)</f>
        <v>-367.81600000000003</v>
      </c>
      <c r="E588" s="5" t="s">
        <v>10</v>
      </c>
      <c r="F588" t="s">
        <v>701</v>
      </c>
      <c r="G588"/>
      <c r="H588"/>
      <c r="I588" s="349" t="s">
        <v>741</v>
      </c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</row>
    <row r="589" spans="1:44" ht="13.5">
      <c r="A589" s="3" t="s">
        <v>746</v>
      </c>
      <c r="B589" s="8">
        <f>macf(B585,4)</f>
        <v>11.275</v>
      </c>
      <c r="C589" s="8">
        <f>macf(C585,4)</f>
        <v>0</v>
      </c>
      <c r="D589" s="8">
        <f>macf(D585,4)</f>
        <v>0</v>
      </c>
      <c r="E589" s="5" t="s">
        <v>10</v>
      </c>
      <c r="F589" t="s">
        <v>766</v>
      </c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</row>
    <row r="590" spans="1:44" ht="14.25">
      <c r="A590" s="2" t="s">
        <v>236</v>
      </c>
      <c r="B590" s="8">
        <f>macf(B585,5)</f>
        <v>33.4846</v>
      </c>
      <c r="C590" s="8">
        <f>macf(C585,5)</f>
        <v>10</v>
      </c>
      <c r="D590" s="8">
        <f>macf(D585,5)</f>
        <v>15.8045</v>
      </c>
      <c r="E590" s="5" t="s">
        <v>13</v>
      </c>
      <c r="F590" t="s">
        <v>767</v>
      </c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</row>
    <row r="591" spans="1:44" ht="14.25">
      <c r="A591" s="2" t="s">
        <v>743</v>
      </c>
      <c r="B591" s="8">
        <f>macf(B585,6)</f>
        <v>0</v>
      </c>
      <c r="C591" s="8">
        <f>macf(C585,6)</f>
        <v>0</v>
      </c>
      <c r="D591" s="8">
        <f>macf(D585,6)</f>
        <v>10</v>
      </c>
      <c r="E591" s="5" t="s">
        <v>13</v>
      </c>
      <c r="F591" t="s">
        <v>768</v>
      </c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</row>
    <row r="592" spans="1:44" ht="12">
      <c r="A592" s="2" t="s">
        <v>183</v>
      </c>
      <c r="B592" s="41">
        <f>macf(B585,7)</f>
        <v>0.3158380129998926</v>
      </c>
      <c r="C592" s="41">
        <f>macf(C585,7)</f>
        <v>0.2278418139853862</v>
      </c>
      <c r="D592" s="41">
        <f>macf(D585,7)</f>
        <v>0</v>
      </c>
      <c r="E592" s="5" t="s">
        <v>11</v>
      </c>
      <c r="F592" t="s">
        <v>546</v>
      </c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</row>
    <row r="593" spans="1:44" ht="13.5">
      <c r="A593" s="3" t="s">
        <v>747</v>
      </c>
      <c r="B593" s="9">
        <f>fcels(B571,B572,B573,B574,B575,B576,B577,B578,B579,B580,B581,B582,B583,0)</f>
        <v>-0.608720738565849</v>
      </c>
      <c r="C593" s="9">
        <f>fcels(C571,C572,C573,C574,C575,C576,C577,C578,C579,C580,C581,C582,C583,0)</f>
        <v>-0.6987756539394736</v>
      </c>
      <c r="D593" s="9">
        <f>fcels(D571,D572,D573,D574,D575,D576,D577,D578,D579,D580,D581,D582,D583,0)</f>
        <v>-1.9408112035936056</v>
      </c>
      <c r="E593" s="471" t="s">
        <v>9</v>
      </c>
      <c r="F593" t="s">
        <v>702</v>
      </c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</row>
    <row r="594" spans="1:44" ht="13.5">
      <c r="A594" s="2" t="s">
        <v>748</v>
      </c>
      <c r="B594" s="295">
        <f>IF(B571=0,"",B572/B571)</f>
        <v>-3.3333333333333335</v>
      </c>
      <c r="C594" s="295">
        <f>IF(C571=0,"",C572/C571)</f>
      </c>
      <c r="D594" s="295">
        <f>IF(D571=0,"",D572/D571)</f>
        <v>-0.1</v>
      </c>
      <c r="E594" s="471" t="s">
        <v>11</v>
      </c>
      <c r="F594" t="s">
        <v>769</v>
      </c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</row>
    <row r="595" spans="1:44" ht="12">
      <c r="A595" s="2"/>
      <c r="B595" s="472"/>
      <c r="C595" s="472"/>
      <c r="D595" s="472"/>
      <c r="E595" s="471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</row>
    <row r="596" spans="2:44" ht="12">
      <c r="B596" s="5" t="s">
        <v>751</v>
      </c>
      <c r="E596"/>
      <c r="G596" s="5" t="s">
        <v>752</v>
      </c>
      <c r="I596" s="5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</row>
    <row r="597" spans="1:44" ht="13.5">
      <c r="A597" s="2" t="s">
        <v>37</v>
      </c>
      <c r="B597" s="468">
        <f>0.5*B586*B578*B592</f>
        <v>1.7584976217397623</v>
      </c>
      <c r="C597" s="468">
        <f>0.5*C586*C578*C592</f>
        <v>0.35542776161366685</v>
      </c>
      <c r="D597" s="468">
        <f>0.5*D586*D578*D592</f>
        <v>0</v>
      </c>
      <c r="E597"/>
      <c r="F597" s="1" t="s">
        <v>753</v>
      </c>
      <c r="G597" s="468">
        <f>B597*(B579/2-B592/3)</f>
        <v>0.6941153459647733</v>
      </c>
      <c r="H597" s="468">
        <f>C597*(C579/2-C592/3)</f>
        <v>0.15072011215789233</v>
      </c>
      <c r="I597" s="468">
        <f>D597*(D579/2-D592/3)</f>
        <v>0</v>
      </c>
      <c r="J597" t="s">
        <v>67</v>
      </c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</row>
    <row r="598" spans="1:44" ht="13.5">
      <c r="A598" s="2" t="s">
        <v>749</v>
      </c>
      <c r="B598" s="9">
        <f>-(B578-B580)*(B592-B581)*B589/2</f>
        <v>-0.7211433991434474</v>
      </c>
      <c r="C598" s="9">
        <f>-(C578-C580)*(C592-C581)*C589/2</f>
        <v>0</v>
      </c>
      <c r="D598" s="9">
        <f>-(D578-D580)*(D592-D581)*D589/2</f>
        <v>0</v>
      </c>
      <c r="E598"/>
      <c r="F598" s="1" t="s">
        <v>754</v>
      </c>
      <c r="G598" s="9">
        <f>B598*(B579/2-B581-(B592-B581)/3)</f>
        <v>-0.2558044641815008</v>
      </c>
      <c r="H598" s="9">
        <f>C598*(C579/2-C581-(C579-C581)/3)</f>
        <v>0</v>
      </c>
      <c r="I598" s="9">
        <f>D598*(D579/2-D581-(D579-D581)/3)</f>
        <v>0</v>
      </c>
      <c r="J598" s="1" t="s">
        <v>770</v>
      </c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</row>
    <row r="599" spans="1:44" ht="13.5">
      <c r="A599" s="2" t="s">
        <v>36</v>
      </c>
      <c r="B599" s="9">
        <f aca="true" t="shared" si="67" ref="B599:D600">B590/10000*B587</f>
        <v>-1.33735148478</v>
      </c>
      <c r="C599" s="9">
        <f t="shared" si="67"/>
        <v>-0.355428</v>
      </c>
      <c r="D599" s="9">
        <f t="shared" si="67"/>
        <v>-0.6321800000000001</v>
      </c>
      <c r="E599"/>
      <c r="F599" s="1" t="s">
        <v>755</v>
      </c>
      <c r="G599" s="9">
        <f>B599*(B579/2-B575)</f>
        <v>0.5616876236076</v>
      </c>
      <c r="H599" s="9">
        <f>C599*(C579/2-C575)</f>
        <v>0.14927976</v>
      </c>
      <c r="I599" s="9">
        <f>D599*(D579/2-D575)</f>
        <v>0.2655156000000001</v>
      </c>
      <c r="J599" t="s">
        <v>771</v>
      </c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</row>
    <row r="600" spans="1:44" ht="13.5">
      <c r="A600" s="2" t="s">
        <v>750</v>
      </c>
      <c r="B600" s="9">
        <f t="shared" si="67"/>
        <v>0</v>
      </c>
      <c r="C600" s="9">
        <f t="shared" si="67"/>
        <v>0</v>
      </c>
      <c r="D600" s="9">
        <f t="shared" si="67"/>
        <v>-0.36781600000000003</v>
      </c>
      <c r="E600"/>
      <c r="F600" s="1" t="s">
        <v>756</v>
      </c>
      <c r="G600" s="9">
        <f>B600*(B579/2-B576)</f>
        <v>0</v>
      </c>
      <c r="H600" s="9">
        <f>C600*(C579/2-C576)</f>
        <v>0</v>
      </c>
      <c r="I600" s="9">
        <f>D600*(D579/2-D576)</f>
        <v>-0.16551720000000003</v>
      </c>
      <c r="J600" t="s">
        <v>772</v>
      </c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</row>
    <row r="601" spans="1:44" ht="12">
      <c r="A601" s="2" t="s">
        <v>623</v>
      </c>
      <c r="B601" s="9">
        <f>B571</f>
        <v>-0.3</v>
      </c>
      <c r="C601" s="9">
        <f>C571</f>
        <v>0</v>
      </c>
      <c r="D601" s="9">
        <f>D571</f>
        <v>-1</v>
      </c>
      <c r="F601" s="1" t="s">
        <v>218</v>
      </c>
      <c r="G601" s="9">
        <f>B572</f>
        <v>1</v>
      </c>
      <c r="H601" s="9">
        <f>C572</f>
        <v>0.3</v>
      </c>
      <c r="I601" s="9">
        <f>D572</f>
        <v>0.1</v>
      </c>
      <c r="J601" t="s">
        <v>773</v>
      </c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</row>
    <row r="602" spans="1:44" ht="13.5">
      <c r="A602" s="2" t="s">
        <v>739</v>
      </c>
      <c r="B602" s="469">
        <f>SUM(B597:B600)-B571</f>
        <v>2.7378163147129264E-06</v>
      </c>
      <c r="C602" s="469">
        <f>SUM(C597:C600)-C571</f>
        <v>-2.3838633317341262E-07</v>
      </c>
      <c r="D602" s="469">
        <f>SUM(D597:D600)-D571</f>
        <v>3.999999999892978E-06</v>
      </c>
      <c r="E602"/>
      <c r="F602" s="1" t="s">
        <v>739</v>
      </c>
      <c r="G602" s="470">
        <f>SUM(G597:G600)-G601</f>
        <v>-1.494609127461466E-06</v>
      </c>
      <c r="H602" s="470">
        <f>SUM(H597:H600)-H601</f>
        <v>-1.278421076222891E-07</v>
      </c>
      <c r="I602" s="470">
        <f>SUM(I597:I600)-I601</f>
        <v>-1.5999999999627423E-06</v>
      </c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</row>
    <row r="603" spans="2:44" ht="12">
      <c r="B603" s="466" t="str">
        <f>IF(ABS(B602)&lt;0.0001,"OK","KO")</f>
        <v>OK</v>
      </c>
      <c r="C603" s="466" t="str">
        <f>IF(ABS(C602)&lt;0.0001,"OK","KO")</f>
        <v>OK</v>
      </c>
      <c r="D603" s="466" t="str">
        <f>IF(ABS(D602)&lt;0.0001,"OK","KO")</f>
        <v>OK</v>
      </c>
      <c r="E603"/>
      <c r="G603" s="466" t="str">
        <f>IF(ABS(G602)&lt;0.0001,"OK","KO")</f>
        <v>OK</v>
      </c>
      <c r="H603" s="466" t="str">
        <f>IF(ABS(H602)&lt;0.0001,"OK","KO")</f>
        <v>OK</v>
      </c>
      <c r="I603" s="466" t="str">
        <f>IF(ABS(I602)&lt;0.0001,"OK","KO")</f>
        <v>OK</v>
      </c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</row>
    <row r="604" spans="5:44" ht="12"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</row>
    <row r="605" spans="1:44" ht="12">
      <c r="A605" s="52"/>
      <c r="B605" s="52"/>
      <c r="C605" s="53"/>
      <c r="D605" s="53"/>
      <c r="E605" s="52"/>
      <c r="F605" s="146"/>
      <c r="G605" s="52"/>
      <c r="H605" s="53"/>
      <c r="I605" s="52"/>
      <c r="J605" s="52"/>
      <c r="K605" s="146"/>
      <c r="L605" s="146"/>
      <c r="M605" s="146"/>
      <c r="N605" s="146"/>
      <c r="O605" s="146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</row>
    <row r="606" spans="1:44" ht="12">
      <c r="A606" s="29" t="s">
        <v>776</v>
      </c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</row>
    <row r="607" spans="1:44" ht="12">
      <c r="A607"/>
      <c r="B607"/>
      <c r="C607"/>
      <c r="D607"/>
      <c r="E607"/>
      <c r="F607"/>
      <c r="G607" s="467"/>
      <c r="H607"/>
      <c r="I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</row>
    <row r="608" spans="1:44" ht="12">
      <c r="A608"/>
      <c r="B608" s="473">
        <v>1</v>
      </c>
      <c r="C608" s="473">
        <v>2</v>
      </c>
      <c r="D608" s="473">
        <v>3</v>
      </c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</row>
    <row r="609" spans="2:44" ht="13.5">
      <c r="B609" s="398" t="s">
        <v>183</v>
      </c>
      <c r="C609" s="159" t="s">
        <v>777</v>
      </c>
      <c r="D609" s="159" t="s">
        <v>778</v>
      </c>
      <c r="G609" s="5" t="s">
        <v>792</v>
      </c>
      <c r="H609" s="1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</row>
    <row r="610" spans="2:44" ht="12.75" thickBot="1">
      <c r="B610" s="474">
        <v>0</v>
      </c>
      <c r="C610" s="474">
        <v>1</v>
      </c>
      <c r="D610" s="474">
        <v>1</v>
      </c>
      <c r="H610" s="1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</row>
    <row r="611" spans="1:44" ht="13.5" thickBot="1" thickTop="1">
      <c r="A611"/>
      <c r="B611" s="47">
        <v>100</v>
      </c>
      <c r="C611" s="47">
        <v>1</v>
      </c>
      <c r="D611" s="47">
        <v>1</v>
      </c>
      <c r="E611"/>
      <c r="F611" s="2" t="s">
        <v>779</v>
      </c>
      <c r="G611" s="488">
        <v>572</v>
      </c>
      <c r="H611"/>
      <c r="I611"/>
      <c r="K611" s="349" t="s">
        <v>774</v>
      </c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</row>
    <row r="612" spans="1:44" ht="12.75" thickTop="1">
      <c r="A612"/>
      <c r="B612" s="47">
        <v>200</v>
      </c>
      <c r="C612" s="47">
        <v>0.95</v>
      </c>
      <c r="D612" s="47">
        <v>0.97</v>
      </c>
      <c r="E612"/>
      <c r="F612" s="2" t="s">
        <v>780</v>
      </c>
      <c r="G612" s="103">
        <f>fintLP(G611,3,13,B610:D622,1)</f>
        <v>0.6392</v>
      </c>
      <c r="H612" s="5" t="s">
        <v>781</v>
      </c>
      <c r="J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</row>
    <row r="613" spans="1:44" ht="12">
      <c r="A613"/>
      <c r="B613" s="47">
        <v>300</v>
      </c>
      <c r="C613" s="47">
        <v>0.85</v>
      </c>
      <c r="D613" s="47">
        <v>0.91</v>
      </c>
      <c r="E613"/>
      <c r="F613" s="2" t="s">
        <v>780</v>
      </c>
      <c r="G613" s="10">
        <f>fintLP(G611,3,13,B610:D622,2)</f>
        <v>0.642224</v>
      </c>
      <c r="H613" s="5" t="s">
        <v>782</v>
      </c>
      <c r="J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</row>
    <row r="614" spans="1:44" ht="12">
      <c r="A614"/>
      <c r="B614" s="47">
        <v>400</v>
      </c>
      <c r="C614" s="47">
        <v>0.75</v>
      </c>
      <c r="D614" s="47">
        <v>0.85</v>
      </c>
      <c r="E614"/>
      <c r="F614"/>
      <c r="J614"/>
      <c r="N614"/>
      <c r="O614"/>
      <c r="P614"/>
      <c r="Q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</row>
    <row r="615" spans="1:44" ht="12">
      <c r="A615"/>
      <c r="B615" s="47">
        <v>500</v>
      </c>
      <c r="C615" s="47">
        <v>0.6</v>
      </c>
      <c r="D615" s="47">
        <v>0.74</v>
      </c>
      <c r="E615"/>
      <c r="F615" s="2" t="s">
        <v>183</v>
      </c>
      <c r="G615" s="5" t="s">
        <v>787</v>
      </c>
      <c r="H615"/>
      <c r="I615"/>
      <c r="J615"/>
      <c r="N615"/>
      <c r="O615"/>
      <c r="P615"/>
      <c r="Q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</row>
    <row r="616" spans="1:44" ht="12">
      <c r="A616"/>
      <c r="B616" s="47">
        <v>600</v>
      </c>
      <c r="C616" s="47">
        <v>0.45</v>
      </c>
      <c r="D616" s="47">
        <v>0.6</v>
      </c>
      <c r="E616"/>
      <c r="F616" s="2" t="s">
        <v>783</v>
      </c>
      <c r="G616" s="5" t="s">
        <v>790</v>
      </c>
      <c r="H616"/>
      <c r="I616"/>
      <c r="J616"/>
      <c r="N616"/>
      <c r="O616"/>
      <c r="P616"/>
      <c r="Q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</row>
    <row r="617" spans="1:44" ht="12">
      <c r="A617"/>
      <c r="B617" s="47">
        <v>700</v>
      </c>
      <c r="C617" s="47">
        <v>0.3</v>
      </c>
      <c r="D617" s="47">
        <v>0.43</v>
      </c>
      <c r="E617"/>
      <c r="F617" s="2" t="s">
        <v>784</v>
      </c>
      <c r="G617" s="5" t="s">
        <v>791</v>
      </c>
      <c r="H617"/>
      <c r="I617"/>
      <c r="J617"/>
      <c r="K617"/>
      <c r="L617" s="5"/>
      <c r="N617"/>
      <c r="O617"/>
      <c r="P617"/>
      <c r="Q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</row>
    <row r="618" spans="1:44" ht="12">
      <c r="A618"/>
      <c r="B618" s="47">
        <v>800</v>
      </c>
      <c r="C618" s="47">
        <v>0.15</v>
      </c>
      <c r="D618" s="47">
        <v>0.27</v>
      </c>
      <c r="E618"/>
      <c r="F618" s="2" t="s">
        <v>785</v>
      </c>
      <c r="G618" s="5" t="s">
        <v>788</v>
      </c>
      <c r="H618"/>
      <c r="I618"/>
      <c r="J618"/>
      <c r="K618"/>
      <c r="L618" s="5"/>
      <c r="N618"/>
      <c r="O618"/>
      <c r="P618"/>
      <c r="Q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</row>
    <row r="619" spans="1:44" ht="12">
      <c r="A619"/>
      <c r="B619" s="47">
        <v>900</v>
      </c>
      <c r="C619" s="47">
        <v>0.08</v>
      </c>
      <c r="D619" s="47">
        <v>0.15</v>
      </c>
      <c r="E619"/>
      <c r="F619" s="2" t="s">
        <v>786</v>
      </c>
      <c r="G619" s="337" t="s">
        <v>789</v>
      </c>
      <c r="H619"/>
      <c r="I619"/>
      <c r="J619"/>
      <c r="K619"/>
      <c r="L619" s="5"/>
      <c r="N619"/>
      <c r="O619"/>
      <c r="P619"/>
      <c r="Q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</row>
    <row r="620" spans="1:44" ht="12">
      <c r="A620"/>
      <c r="B620" s="47">
        <v>1000</v>
      </c>
      <c r="C620" s="47">
        <v>0.04</v>
      </c>
      <c r="D620" s="47">
        <v>0.06</v>
      </c>
      <c r="E620"/>
      <c r="F620"/>
      <c r="G620"/>
      <c r="H620"/>
      <c r="I620"/>
      <c r="J620"/>
      <c r="K620"/>
      <c r="N620"/>
      <c r="O620"/>
      <c r="P620"/>
      <c r="Q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</row>
    <row r="621" spans="1:44" ht="12">
      <c r="A621"/>
      <c r="B621" s="47">
        <v>1100</v>
      </c>
      <c r="C621" s="47">
        <v>0.01</v>
      </c>
      <c r="D621" s="47">
        <v>0.02</v>
      </c>
      <c r="E621"/>
      <c r="F621"/>
      <c r="G621"/>
      <c r="H621"/>
      <c r="I621"/>
      <c r="J621"/>
      <c r="K621"/>
      <c r="N621"/>
      <c r="O621"/>
      <c r="P621"/>
      <c r="Q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</row>
    <row r="622" spans="1:44" ht="12">
      <c r="A622"/>
      <c r="B622" s="49">
        <v>1200</v>
      </c>
      <c r="C622" s="49">
        <v>0</v>
      </c>
      <c r="D622" s="49">
        <v>0</v>
      </c>
      <c r="E622"/>
      <c r="F622"/>
      <c r="G622"/>
      <c r="H622"/>
      <c r="I622"/>
      <c r="J622"/>
      <c r="K622"/>
      <c r="N622"/>
      <c r="O622"/>
      <c r="P622"/>
      <c r="Q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</row>
    <row r="623" spans="1:44" ht="1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</row>
    <row r="624" spans="1:44" ht="12">
      <c r="A624" s="52"/>
      <c r="B624" s="52"/>
      <c r="C624" s="53"/>
      <c r="D624" s="53"/>
      <c r="E624" s="52"/>
      <c r="F624" s="146"/>
      <c r="G624" s="52"/>
      <c r="H624" s="53"/>
      <c r="I624" s="52"/>
      <c r="J624" s="52"/>
      <c r="K624" s="146"/>
      <c r="L624" s="146"/>
      <c r="M624" s="146"/>
      <c r="N624" s="146"/>
      <c r="O624" s="146"/>
      <c r="P624"/>
      <c r="Q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</row>
    <row r="625" spans="1:44" ht="12">
      <c r="A625" s="29" t="s">
        <v>793</v>
      </c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</row>
    <row r="626" spans="1:44" ht="12.75" thickBot="1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</row>
    <row r="627" spans="1:44" ht="12.75" thickTop="1">
      <c r="A627" s="2" t="s">
        <v>795</v>
      </c>
      <c r="B627" s="483">
        <v>9.44</v>
      </c>
      <c r="C627" t="s">
        <v>11</v>
      </c>
      <c r="D627" t="s">
        <v>801</v>
      </c>
      <c r="E627"/>
      <c r="F627"/>
      <c r="G627"/>
      <c r="H627"/>
      <c r="I627"/>
      <c r="J627"/>
      <c r="K627"/>
      <c r="L627"/>
      <c r="M627"/>
      <c r="N627"/>
      <c r="O627"/>
      <c r="P627"/>
      <c r="Q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</row>
    <row r="628" spans="1:44" ht="12">
      <c r="A628" s="2" t="s">
        <v>183</v>
      </c>
      <c r="B628" s="484">
        <f>9.44/2</f>
        <v>4.72</v>
      </c>
      <c r="C628" t="s">
        <v>11</v>
      </c>
      <c r="D628" t="s">
        <v>797</v>
      </c>
      <c r="E628"/>
      <c r="F628"/>
      <c r="G628"/>
      <c r="H628"/>
      <c r="I628"/>
      <c r="J628"/>
      <c r="K628"/>
      <c r="L628"/>
      <c r="M628"/>
      <c r="N628"/>
      <c r="O628"/>
      <c r="P628"/>
      <c r="Q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</row>
    <row r="629" spans="1:44" ht="14.25" thickBot="1">
      <c r="A629" s="2" t="s">
        <v>715</v>
      </c>
      <c r="B629" s="486">
        <v>82.732</v>
      </c>
      <c r="C629" s="5" t="s">
        <v>796</v>
      </c>
      <c r="D629" s="5" t="s">
        <v>92</v>
      </c>
      <c r="I629" s="5"/>
      <c r="J629" s="5"/>
      <c r="K629" s="138" t="s">
        <v>805</v>
      </c>
      <c r="L629"/>
      <c r="M629"/>
      <c r="N629"/>
      <c r="O629"/>
      <c r="P629"/>
      <c r="Q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</row>
    <row r="630" spans="1:44" ht="12.75" thickTop="1">
      <c r="A630" s="2"/>
      <c r="B630" s="2"/>
      <c r="H630" s="1"/>
      <c r="J630"/>
      <c r="K630"/>
      <c r="L630"/>
      <c r="M630"/>
      <c r="N630"/>
      <c r="O630"/>
      <c r="P630"/>
      <c r="Q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</row>
    <row r="631" spans="1:44" ht="12">
      <c r="A631"/>
      <c r="C631" s="1"/>
      <c r="D631" s="1"/>
      <c r="H631" s="1"/>
      <c r="J631"/>
      <c r="K631"/>
      <c r="L631"/>
      <c r="M631"/>
      <c r="N631"/>
      <c r="O631"/>
      <c r="P631"/>
      <c r="Q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</row>
    <row r="632" spans="1:44" ht="12">
      <c r="A632"/>
      <c r="B632" s="475" t="s">
        <v>800</v>
      </c>
      <c r="C632" s="476"/>
      <c r="D632" s="477"/>
      <c r="E632" s="475" t="s">
        <v>799</v>
      </c>
      <c r="F632" s="477"/>
      <c r="G632" s="475" t="s">
        <v>59</v>
      </c>
      <c r="H632" s="476"/>
      <c r="I632" s="477"/>
      <c r="J632"/>
      <c r="K632"/>
      <c r="L632"/>
      <c r="M632"/>
      <c r="N632"/>
      <c r="O632"/>
      <c r="P632"/>
      <c r="Q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</row>
    <row r="633" spans="1:44" ht="12">
      <c r="A633" s="269"/>
      <c r="B633" s="166" t="s">
        <v>213</v>
      </c>
      <c r="C633" s="166" t="s">
        <v>324</v>
      </c>
      <c r="D633" s="166" t="s">
        <v>0</v>
      </c>
      <c r="E633" s="166" t="s">
        <v>794</v>
      </c>
      <c r="F633" s="166" t="s">
        <v>804</v>
      </c>
      <c r="G633" s="166" t="s">
        <v>218</v>
      </c>
      <c r="H633" s="166" t="s">
        <v>802</v>
      </c>
      <c r="I633" s="166" t="s">
        <v>208</v>
      </c>
      <c r="J633"/>
      <c r="K633"/>
      <c r="L633"/>
      <c r="M633"/>
      <c r="N633"/>
      <c r="O633"/>
      <c r="P633"/>
      <c r="Q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</row>
    <row r="634" spans="1:44" ht="14.25" thickBot="1">
      <c r="A634" s="269" t="s">
        <v>798</v>
      </c>
      <c r="B634" s="419" t="s">
        <v>727</v>
      </c>
      <c r="C634" s="419" t="s">
        <v>11</v>
      </c>
      <c r="D634" s="419" t="s">
        <v>11</v>
      </c>
      <c r="E634" s="419" t="s">
        <v>39</v>
      </c>
      <c r="F634" s="419" t="s">
        <v>11</v>
      </c>
      <c r="G634" s="478" t="s">
        <v>12</v>
      </c>
      <c r="H634" s="478" t="s">
        <v>39</v>
      </c>
      <c r="I634" s="478" t="s">
        <v>186</v>
      </c>
      <c r="J634"/>
      <c r="K634"/>
      <c r="L634"/>
      <c r="M634"/>
      <c r="N634"/>
      <c r="O634"/>
      <c r="P634"/>
      <c r="Q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</row>
    <row r="635" spans="1:44" ht="12.75" thickTop="1">
      <c r="A635">
        <v>1</v>
      </c>
      <c r="B635" s="493">
        <f>4.5*1.7</f>
        <v>7.6499999999999995</v>
      </c>
      <c r="C635" s="494">
        <v>2.48</v>
      </c>
      <c r="D635" s="494">
        <v>4.48</v>
      </c>
      <c r="E635" s="494"/>
      <c r="F635" s="535"/>
      <c r="G635" s="479">
        <f>IF(ABS(B635)+ABS(E635)=0,"",fVMf(B628,B627,B635:F635,B629,2))</f>
        <v>61.689599999999984</v>
      </c>
      <c r="H635" s="417">
        <f>IF(ABS(B635)+ABS(E635)=0,"",fVMf(B628,B627,B635:F635,B629,1))</f>
        <v>0</v>
      </c>
      <c r="I635" s="417">
        <f>IF(ABS(B635)+ABS(E635)=0,"",fVMf(B628,B627,B635:F635,B629,4))</f>
        <v>-6.539501248368227</v>
      </c>
      <c r="J635"/>
      <c r="K635"/>
      <c r="L635"/>
      <c r="M635"/>
      <c r="N635"/>
      <c r="O635"/>
      <c r="P635"/>
      <c r="Q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</row>
    <row r="636" spans="1:44" ht="12">
      <c r="A636">
        <v>2</v>
      </c>
      <c r="B636" s="496"/>
      <c r="C636" s="497"/>
      <c r="D636" s="497"/>
      <c r="E636" s="497">
        <v>-2.35</v>
      </c>
      <c r="F636" s="536">
        <v>2.36</v>
      </c>
      <c r="G636" s="480">
        <f>IF(ABS(B636)+ABS(E636)=0,"",fVMf(B628,B627,B636:F636,B629,2))</f>
        <v>-2.773</v>
      </c>
      <c r="H636" s="8">
        <f>IF(ABS(B636)+ABS(E636)=0,"",fVMf(B628,B627,B636:F636,B629,1))</f>
        <v>0.5875</v>
      </c>
      <c r="I636" s="8">
        <f>IF(ABS(B636)+ABS(E636)=0,"",fVMf(B628,B627,B636:F636,B629,4))</f>
        <v>0.34224868410449805</v>
      </c>
      <c r="J636"/>
      <c r="K636"/>
      <c r="L636"/>
      <c r="M636"/>
      <c r="N636"/>
      <c r="O636"/>
      <c r="P636"/>
      <c r="Q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</row>
    <row r="637" spans="1:44" ht="12">
      <c r="A637">
        <v>3</v>
      </c>
      <c r="B637" s="496"/>
      <c r="C637" s="497"/>
      <c r="D637" s="497"/>
      <c r="E637" s="497">
        <v>-3.08</v>
      </c>
      <c r="F637" s="536">
        <v>4.72</v>
      </c>
      <c r="G637" s="480">
        <f>IF(ABS(B637)+ABS(E637)=0,"",fVMf(B628,B627,B637:F637,B629,2))</f>
        <v>-7.2688</v>
      </c>
      <c r="H637" s="8">
        <f>IF(ABS(B637)+ABS(E637)=0,"",fVMf(B628,B627,B637:F637,B629,1))</f>
        <v>-1.54</v>
      </c>
      <c r="I637" s="8">
        <f>IF(ABS(B637)+ABS(E637)=0,"",fVMf(B628,B627,B637:F637,B629,4))</f>
        <v>0.6524570658672983</v>
      </c>
      <c r="J637"/>
      <c r="K637"/>
      <c r="L637"/>
      <c r="M637"/>
      <c r="N637"/>
      <c r="O637"/>
      <c r="P637"/>
      <c r="Q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</row>
    <row r="638" spans="1:44" ht="12">
      <c r="A638">
        <v>4</v>
      </c>
      <c r="B638" s="496"/>
      <c r="C638" s="497"/>
      <c r="D638" s="497"/>
      <c r="E638" s="497">
        <v>-0.17</v>
      </c>
      <c r="F638" s="498">
        <v>7.08</v>
      </c>
      <c r="G638" s="480">
        <f>IF(ABS(B638)+ABS(E638)=0,"",fVMf(B628,B627,B638:F638,B629,2))</f>
        <v>-0.20059999999999997</v>
      </c>
      <c r="H638" s="8">
        <f>IF(ABS(B638)+ABS(E638)=0,"",fVMf(B628,B627,B638:F638,B629,1))</f>
        <v>-0.042499999999999996</v>
      </c>
      <c r="I638" s="8">
        <f>IF(ABS(B638)+ABS(E638)=0,"",fVMf(B628,B627,B638:F638,B629,4))</f>
        <v>0.02475841544585731</v>
      </c>
      <c r="J638"/>
      <c r="K638"/>
      <c r="L638"/>
      <c r="M638"/>
      <c r="N638"/>
      <c r="O638"/>
      <c r="P638"/>
      <c r="Q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</row>
    <row r="639" spans="1:44" ht="12">
      <c r="A639">
        <v>5</v>
      </c>
      <c r="B639" s="496">
        <f>-3.75*1.7</f>
        <v>-6.375</v>
      </c>
      <c r="C639" s="497">
        <v>0</v>
      </c>
      <c r="D639" s="497">
        <v>2.48</v>
      </c>
      <c r="E639" s="497"/>
      <c r="F639" s="498"/>
      <c r="G639" s="480">
        <f>IF(ABS(B639)+ABS(E639)=0,"",fVMf(B628,B627,B639:F639,B629,2))</f>
        <v>-9.802200000000001</v>
      </c>
      <c r="H639" s="8">
        <f>IF(ABS(B639)+ABS(E639)=0,"",fVMf(B628,B627,B639:F639,B629,1))</f>
        <v>2.0767372881355937</v>
      </c>
      <c r="I639" s="8">
        <f>IF(ABS(B639)+ABS(E639)=0,"",fVMf(B628,B627,B639:F639,B629,4))</f>
        <v>1.2590619349223995</v>
      </c>
      <c r="J639"/>
      <c r="K639"/>
      <c r="L639"/>
      <c r="M639"/>
      <c r="N639"/>
      <c r="O639"/>
      <c r="P639"/>
      <c r="Q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</row>
    <row r="640" spans="1:44" ht="12">
      <c r="A640">
        <v>6</v>
      </c>
      <c r="B640" s="496"/>
      <c r="C640" s="497"/>
      <c r="D640" s="497"/>
      <c r="E640" s="497"/>
      <c r="F640" s="498"/>
      <c r="G640" s="480">
        <f>IF(ABS(B640)+ABS(E640)=0,"",fVMf(B628,B627,B640:F640,B629,2))</f>
      </c>
      <c r="H640" s="8">
        <f>IF(ABS(B640)+ABS(E640)=0,"",fVMf(B628,B627,B640:F640,B629,1))</f>
      </c>
      <c r="I640" s="8">
        <f>IF(ABS(B640)+ABS(E640)=0,"",fVMf(B628,B627,B640:F640,B629,4))</f>
      </c>
      <c r="J640"/>
      <c r="K640"/>
      <c r="L640"/>
      <c r="M640"/>
      <c r="N640"/>
      <c r="O640"/>
      <c r="P640"/>
      <c r="Q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</row>
    <row r="641" spans="1:44" ht="12">
      <c r="A641">
        <v>7</v>
      </c>
      <c r="B641" s="496"/>
      <c r="C641" s="497"/>
      <c r="D641" s="497"/>
      <c r="E641" s="497"/>
      <c r="F641" s="498"/>
      <c r="G641" s="480">
        <f>IF(ABS(B641)+ABS(E641)=0,"",fVMf(B628,B627,B641:F641,B629,2))</f>
      </c>
      <c r="H641" s="8">
        <f>IF(ABS(B641)+ABS(E641)=0,"",fVMf(B628,B627,B641:F641,B629,1))</f>
      </c>
      <c r="I641" s="8">
        <f>IF(ABS(B641)+ABS(E641)=0,"",fVMf(B628,B627,B641:F641,B629,4))</f>
      </c>
      <c r="J641"/>
      <c r="K641"/>
      <c r="L641"/>
      <c r="M641"/>
      <c r="N641"/>
      <c r="O641"/>
      <c r="P641"/>
      <c r="Q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</row>
    <row r="642" spans="1:44" ht="12.75" thickBot="1">
      <c r="A642">
        <v>8</v>
      </c>
      <c r="B642" s="537"/>
      <c r="C642" s="538"/>
      <c r="D642" s="538"/>
      <c r="E642" s="538"/>
      <c r="F642" s="539"/>
      <c r="G642" s="481">
        <f>IF(ABS(B642)+ABS(E642)=0,"",fVMf(B628,B627,B642:F642,B629,2))</f>
      </c>
      <c r="H642" s="404">
        <f>IF(ABS(B642)+ABS(E642)=0,"",fVMf(B628,B627,B642:F642,B629,1))</f>
      </c>
      <c r="I642" s="404">
        <f>IF(ABS(B642)+ABS(E642)=0,"",fVMf(B628,B627,B642:F642,B629,4))</f>
      </c>
      <c r="J642"/>
      <c r="K642"/>
      <c r="L642"/>
      <c r="M642"/>
      <c r="N642"/>
      <c r="O642"/>
      <c r="P642"/>
      <c r="Q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</row>
    <row r="643" spans="1:44" ht="12.75" thickTop="1">
      <c r="A643"/>
      <c r="B643"/>
      <c r="C643"/>
      <c r="D643"/>
      <c r="E643"/>
      <c r="F643" s="2" t="s">
        <v>803</v>
      </c>
      <c r="G643" s="135">
        <f>SUM(G635:G642)</f>
        <v>41.64499999999998</v>
      </c>
      <c r="H643" s="135">
        <f>SUM(H635:H642)</f>
        <v>1.0817372881355936</v>
      </c>
      <c r="I643" s="135">
        <f>SUM(I635:I642)</f>
        <v>-4.260975148028173</v>
      </c>
      <c r="J643"/>
      <c r="K643"/>
      <c r="L643"/>
      <c r="M643"/>
      <c r="N643"/>
      <c r="O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</row>
    <row r="644" spans="31:44" ht="12"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</row>
    <row r="645" spans="1:44" ht="12">
      <c r="A645" s="52"/>
      <c r="B645" s="52"/>
      <c r="C645" s="53"/>
      <c r="D645" s="53"/>
      <c r="E645" s="52"/>
      <c r="F645" s="146"/>
      <c r="G645" s="52"/>
      <c r="H645" s="53"/>
      <c r="I645" s="52"/>
      <c r="J645" s="52"/>
      <c r="K645" s="146"/>
      <c r="L645" s="146"/>
      <c r="M645" s="146"/>
      <c r="N645" s="146"/>
      <c r="O645" s="146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</row>
    <row r="646" spans="1:44" ht="12">
      <c r="A646" s="88" t="s">
        <v>809</v>
      </c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</row>
    <row r="647" spans="1:44" ht="12.75" thickBot="1">
      <c r="A647"/>
      <c r="B647"/>
      <c r="C647"/>
      <c r="D647"/>
      <c r="E647"/>
      <c r="F647"/>
      <c r="G647"/>
      <c r="H647" s="411" t="str">
        <f>fderiv(B651:B656,C651:C656,C648)</f>
        <v>330120000033011600003301120000310112500031012500000000000000</v>
      </c>
      <c r="I647" s="387" t="s">
        <v>810</v>
      </c>
      <c r="J647"/>
      <c r="K647"/>
      <c r="L647"/>
      <c r="M647"/>
      <c r="N647"/>
      <c r="O647"/>
      <c r="P647"/>
      <c r="Q647"/>
      <c r="R647"/>
      <c r="S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</row>
    <row r="648" spans="1:44" ht="13.5" thickBot="1" thickTop="1">
      <c r="A648"/>
      <c r="B648" s="2" t="s">
        <v>623</v>
      </c>
      <c r="C648" s="89">
        <v>6</v>
      </c>
      <c r="D648" s="5" t="s">
        <v>808</v>
      </c>
      <c r="F648"/>
      <c r="G648"/>
      <c r="H648" t="s">
        <v>811</v>
      </c>
      <c r="I648"/>
      <c r="J648"/>
      <c r="K648"/>
      <c r="L648"/>
      <c r="M648"/>
      <c r="N648" s="2"/>
      <c r="O648"/>
      <c r="P648"/>
      <c r="Q648" s="2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</row>
    <row r="649" spans="1:44" ht="12.75" thickTop="1">
      <c r="A649"/>
      <c r="B649"/>
      <c r="C649"/>
      <c r="D649"/>
      <c r="E649"/>
      <c r="F649"/>
      <c r="G649"/>
      <c r="K649"/>
      <c r="L649"/>
      <c r="M649"/>
      <c r="N649" s="2"/>
      <c r="O649"/>
      <c r="P649"/>
      <c r="Q649" s="2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</row>
    <row r="650" spans="3:44" ht="12.75" thickBot="1">
      <c r="C650" s="1" t="s">
        <v>26</v>
      </c>
      <c r="D650" s="1" t="s">
        <v>807</v>
      </c>
      <c r="E650"/>
      <c r="F650"/>
      <c r="H650"/>
      <c r="I650"/>
      <c r="J650"/>
      <c r="K650"/>
      <c r="L650"/>
      <c r="M650"/>
      <c r="N650"/>
      <c r="O650"/>
      <c r="P650"/>
      <c r="Q650" s="2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</row>
    <row r="651" spans="1:44" ht="12.75" thickTop="1">
      <c r="A651" s="556">
        <v>1</v>
      </c>
      <c r="B651" s="562">
        <v>0</v>
      </c>
      <c r="C651" s="558">
        <f>1-(1-B651)^2</f>
        <v>0</v>
      </c>
      <c r="D651" s="564">
        <f>IF(A651&gt;C$648,"",macf($H$647,A651))</f>
        <v>2</v>
      </c>
      <c r="E651"/>
      <c r="F651"/>
      <c r="I651"/>
      <c r="J651"/>
      <c r="K651"/>
      <c r="L651"/>
      <c r="M651"/>
      <c r="N651"/>
      <c r="O651"/>
      <c r="P651"/>
      <c r="Q651"/>
      <c r="R651"/>
      <c r="S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</row>
    <row r="652" spans="1:44" ht="12">
      <c r="A652" s="556">
        <v>2</v>
      </c>
      <c r="B652" s="560">
        <v>0.2</v>
      </c>
      <c r="C652" s="559">
        <f>1-(1-B652)^2</f>
        <v>0.3599999999999999</v>
      </c>
      <c r="D652" s="557">
        <f>IF(A652&gt;C$648,"",macf($H$647,A652))</f>
        <v>1.6</v>
      </c>
      <c r="E652"/>
      <c r="F652"/>
      <c r="H652"/>
      <c r="I652"/>
      <c r="J652"/>
      <c r="K652"/>
      <c r="L652"/>
      <c r="M652"/>
      <c r="N652"/>
      <c r="O652"/>
      <c r="P652"/>
      <c r="Q652"/>
      <c r="R652"/>
      <c r="S652" s="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</row>
    <row r="653" spans="1:44" ht="12">
      <c r="A653" s="556">
        <v>3</v>
      </c>
      <c r="B653" s="560">
        <v>0.4</v>
      </c>
      <c r="C653" s="559">
        <f>1-(1-B653)^2</f>
        <v>0.64</v>
      </c>
      <c r="D653" s="557">
        <f>IF(A653&gt;C$648,"",macf($H$647,A653))</f>
        <v>1.2000000000000002</v>
      </c>
      <c r="E653"/>
      <c r="F653"/>
      <c r="H653"/>
      <c r="I653"/>
      <c r="J653"/>
      <c r="K653"/>
      <c r="L653"/>
      <c r="M653"/>
      <c r="N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</row>
    <row r="654" spans="1:44" ht="12">
      <c r="A654" s="556">
        <v>4</v>
      </c>
      <c r="B654" s="560">
        <v>0.6</v>
      </c>
      <c r="C654" s="559">
        <f>1-(1-B654)^2</f>
        <v>0.84</v>
      </c>
      <c r="D654" s="557">
        <f>IF(A654&gt;C$648,"",macf($H$647,A654))</f>
        <v>0.8</v>
      </c>
      <c r="E654"/>
      <c r="F654"/>
      <c r="H654"/>
      <c r="I654"/>
      <c r="J654"/>
      <c r="K654"/>
      <c r="L654"/>
      <c r="M654"/>
      <c r="N654"/>
      <c r="R654" s="462"/>
      <c r="S654" s="462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</row>
    <row r="655" spans="1:19" ht="12">
      <c r="A655" s="556">
        <v>5</v>
      </c>
      <c r="B655" s="560">
        <v>0.8</v>
      </c>
      <c r="C655" s="559">
        <f>1-(1-B655)^2</f>
        <v>0.96</v>
      </c>
      <c r="D655" s="557">
        <f>IF(A655&gt;C$648,"",macf($H$647,A655))</f>
        <v>0.4</v>
      </c>
      <c r="E655"/>
      <c r="F655"/>
      <c r="H655"/>
      <c r="I655"/>
      <c r="J655"/>
      <c r="K655"/>
      <c r="L655"/>
      <c r="M655"/>
      <c r="N655"/>
      <c r="R655" s="462"/>
      <c r="S655" s="462"/>
    </row>
    <row r="656" spans="1:19" ht="12">
      <c r="A656" s="556">
        <v>6</v>
      </c>
      <c r="B656" s="560">
        <v>1</v>
      </c>
      <c r="C656" s="559">
        <f>1-(1-B656)^2</f>
        <v>1</v>
      </c>
      <c r="D656" s="557">
        <f>IF(A656&gt;C$648,"",macf($H$647,A656))</f>
        <v>0</v>
      </c>
      <c r="E656"/>
      <c r="F656"/>
      <c r="H656"/>
      <c r="I656"/>
      <c r="J656"/>
      <c r="K656"/>
      <c r="L656"/>
      <c r="M656"/>
      <c r="N656"/>
      <c r="R656" s="462"/>
      <c r="S656" s="462"/>
    </row>
    <row r="657" spans="1:19" ht="12">
      <c r="A657" s="556">
        <v>7</v>
      </c>
      <c r="B657" s="560"/>
      <c r="C657" s="559"/>
      <c r="D657" s="557">
        <f>IF(A657&gt;C$648,"",macf($H$647,A657))</f>
      </c>
      <c r="E657"/>
      <c r="F657"/>
      <c r="G657"/>
      <c r="H657"/>
      <c r="I657"/>
      <c r="J657"/>
      <c r="K657"/>
      <c r="L657"/>
      <c r="M657"/>
      <c r="N657"/>
      <c r="R657" s="462"/>
      <c r="S657" s="462"/>
    </row>
    <row r="658" spans="1:19" ht="12">
      <c r="A658" s="556">
        <v>8</v>
      </c>
      <c r="B658" s="560"/>
      <c r="C658" s="559"/>
      <c r="D658" s="557">
        <f>IF(A658&gt;C$648,"",macf($H$647,A658))</f>
      </c>
      <c r="E658"/>
      <c r="F658"/>
      <c r="G658"/>
      <c r="H658"/>
      <c r="I658"/>
      <c r="J658"/>
      <c r="K658"/>
      <c r="L658"/>
      <c r="M658"/>
      <c r="N658"/>
      <c r="R658" s="462"/>
      <c r="S658" s="462"/>
    </row>
    <row r="659" spans="1:19" ht="12">
      <c r="A659" s="556">
        <v>9</v>
      </c>
      <c r="B659" s="560"/>
      <c r="C659" s="559"/>
      <c r="D659" s="557">
        <f>IF(A659&gt;C$648,"",macf($H$647,A659))</f>
      </c>
      <c r="E659"/>
      <c r="F659"/>
      <c r="G659"/>
      <c r="H659"/>
      <c r="I659"/>
      <c r="J659"/>
      <c r="K659"/>
      <c r="L659"/>
      <c r="M659"/>
      <c r="N659"/>
      <c r="R659" s="462"/>
      <c r="S659" s="462"/>
    </row>
    <row r="660" spans="1:15" ht="12">
      <c r="A660" s="556">
        <v>10</v>
      </c>
      <c r="B660" s="560"/>
      <c r="C660" s="559"/>
      <c r="D660" s="557">
        <f>IF(A660&gt;C$648,"",macf($H$647,A660))</f>
      </c>
      <c r="E660"/>
      <c r="F660"/>
      <c r="G660"/>
      <c r="H660"/>
      <c r="I660"/>
      <c r="J660"/>
      <c r="K660"/>
      <c r="L660"/>
      <c r="M660"/>
      <c r="N660"/>
      <c r="O660"/>
    </row>
    <row r="661" spans="1:15" ht="12">
      <c r="A661" s="556">
        <v>11</v>
      </c>
      <c r="B661" s="560"/>
      <c r="C661" s="559"/>
      <c r="D661" s="557">
        <f>IF(A661&gt;C$648,"",macf($H$647,A661))</f>
      </c>
      <c r="E661"/>
      <c r="F661"/>
      <c r="G661"/>
      <c r="H661"/>
      <c r="I661"/>
      <c r="J661"/>
      <c r="K661"/>
      <c r="L661"/>
      <c r="M661"/>
      <c r="N661"/>
      <c r="O661"/>
    </row>
    <row r="662" spans="1:15" ht="12">
      <c r="A662" s="556">
        <v>12</v>
      </c>
      <c r="B662" s="560"/>
      <c r="C662" s="559"/>
      <c r="D662" s="557">
        <f>IF(A662&gt;C$648,"",macf($H$647,A662))</f>
      </c>
      <c r="E662"/>
      <c r="F662"/>
      <c r="G662"/>
      <c r="H662"/>
      <c r="I662"/>
      <c r="J662"/>
      <c r="K662"/>
      <c r="L662"/>
      <c r="M662"/>
      <c r="N662"/>
      <c r="O662"/>
    </row>
    <row r="663" spans="1:15" ht="12">
      <c r="A663" s="556">
        <v>13</v>
      </c>
      <c r="B663" s="560"/>
      <c r="C663" s="559"/>
      <c r="D663" s="557">
        <f>IF(A663&gt;C$648,"",macf($H$647,A663))</f>
      </c>
      <c r="E663"/>
      <c r="F663"/>
      <c r="G663"/>
      <c r="H663"/>
      <c r="I663"/>
      <c r="J663"/>
      <c r="K663"/>
      <c r="L663"/>
      <c r="M663"/>
      <c r="N663"/>
      <c r="O663"/>
    </row>
    <row r="664" spans="1:4" ht="12">
      <c r="A664" s="556">
        <v>14</v>
      </c>
      <c r="B664" s="560"/>
      <c r="C664" s="559"/>
      <c r="D664" s="557">
        <f>IF(A664&gt;C$648,"",macf($H$647,A664))</f>
      </c>
    </row>
    <row r="665" spans="1:4" ht="12">
      <c r="A665" s="556">
        <v>15</v>
      </c>
      <c r="B665" s="560"/>
      <c r="C665" s="559"/>
      <c r="D665" s="557">
        <f>IF(A665&gt;C$648,"",macf($H$647,A665))</f>
      </c>
    </row>
    <row r="666" spans="1:4" ht="12">
      <c r="A666" s="556">
        <v>16</v>
      </c>
      <c r="B666" s="560"/>
      <c r="C666" s="559"/>
      <c r="D666" s="557">
        <f>IF(A666&gt;C$648,"",macf($H$647,A666))</f>
      </c>
    </row>
    <row r="667" spans="1:4" ht="12">
      <c r="A667" s="556">
        <v>17</v>
      </c>
      <c r="B667" s="560"/>
      <c r="C667" s="559"/>
      <c r="D667" s="557">
        <f>IF(A667&gt;C$648,"",macf($H$647,A667))</f>
      </c>
    </row>
    <row r="668" spans="1:4" ht="12">
      <c r="A668" s="556">
        <v>18</v>
      </c>
      <c r="B668" s="560"/>
      <c r="C668" s="559"/>
      <c r="D668" s="557">
        <f>IF(A668&gt;C$648,"",macf($H$647,A668))</f>
      </c>
    </row>
    <row r="669" spans="1:4" ht="12">
      <c r="A669" s="556">
        <v>19</v>
      </c>
      <c r="B669" s="560"/>
      <c r="C669" s="559"/>
      <c r="D669" s="557">
        <f>IF(A669&gt;C$648,"",macf($H$647,A669))</f>
      </c>
    </row>
    <row r="670" spans="1:4" ht="12.75" thickBot="1">
      <c r="A670" s="556">
        <v>20</v>
      </c>
      <c r="B670" s="561"/>
      <c r="C670" s="563"/>
      <c r="D670" s="565">
        <f>IF(A670&gt;C$648,"",macf($H$647,A670))</f>
      </c>
    </row>
    <row r="671" ht="12.75" thickTop="1"/>
  </sheetData>
  <sheetProtection/>
  <mergeCells count="11">
    <mergeCell ref="A302:B302"/>
    <mergeCell ref="B1:I1"/>
    <mergeCell ref="A305:B305"/>
    <mergeCell ref="A296:B296"/>
    <mergeCell ref="A297:B297"/>
    <mergeCell ref="A298:B298"/>
    <mergeCell ref="A303:B303"/>
    <mergeCell ref="A304:B304"/>
    <mergeCell ref="A299:B299"/>
    <mergeCell ref="A300:B300"/>
    <mergeCell ref="A301:B301"/>
  </mergeCells>
  <conditionalFormatting sqref="B603:D603 G603:I603">
    <cfRule type="cellIs" priority="1" dxfId="0" operator="equal" stopIfTrue="1">
      <formula>"KO"</formula>
    </cfRule>
  </conditionalFormatting>
  <conditionalFormatting sqref="B435:H435">
    <cfRule type="cellIs" priority="2" dxfId="8" operator="between" stopIfTrue="1">
      <formula>0.0002</formula>
      <formula>0.002</formula>
    </cfRule>
  </conditionalFormatting>
  <conditionalFormatting sqref="V185:V210 W182:AN210 U182:U210 T183:T210">
    <cfRule type="cellIs" priority="1" dxfId="7" operator="lessThan" stopIfTrue="1">
      <formula>0</formula>
    </cfRule>
  </conditionalFormatting>
  <conditionalFormatting sqref="H80:H122">
    <cfRule type="cellIs" priority="4" dxfId="0" operator="equal" stopIfTrue="1">
      <formula>$B$97</formula>
    </cfRule>
  </conditionalFormatting>
  <dataValidations count="12">
    <dataValidation type="list" allowBlank="1" showInputMessage="1" showErrorMessage="1" sqref="B81 B58 B30">
      <formula1>$AI$28:$AI$31</formula1>
    </dataValidation>
    <dataValidation type="list" allowBlank="1" showInputMessage="1" showErrorMessage="1" sqref="B429">
      <formula1>$Y$5:$Y$8</formula1>
    </dataValidation>
    <dataValidation type="decimal" operator="lessThan" allowBlank="1" showInputMessage="1" showErrorMessage="1" sqref="B46 B61:B63 B33 B84:B85 B179 B192">
      <formula1>35</formula1>
    </dataValidation>
    <dataValidation type="whole" allowBlank="1" showInputMessage="1" showErrorMessage="1" sqref="C331">
      <formula1>1</formula1>
      <formula2>8</formula2>
    </dataValidation>
    <dataValidation type="list" allowBlank="1" showInputMessage="1" showErrorMessage="1" sqref="M310">
      <formula1>$AH$6:$AH$19</formula1>
    </dataValidation>
    <dataValidation type="list" allowBlank="1" showInputMessage="1" showErrorMessage="1" sqref="N246">
      <formula1>$N$247:$N$252</formula1>
    </dataValidation>
    <dataValidation type="decimal" operator="lessThan" allowBlank="1" showInputMessage="1" showErrorMessage="1" sqref="AC137 B89 B69">
      <formula1>34</formula1>
    </dataValidation>
    <dataValidation type="decimal" operator="greaterThan" allowBlank="1" showInputMessage="1" showErrorMessage="1" sqref="B183">
      <formula1>0</formula1>
    </dataValidation>
    <dataValidation type="whole" operator="lessThanOrEqual" allowBlank="1" showInputMessage="1" showErrorMessage="1" sqref="B229">
      <formula1>8</formula1>
    </dataValidation>
    <dataValidation type="list" allowBlank="1" showInputMessage="1" showErrorMessage="1" sqref="B232">
      <formula1>$AF$231:$AG$231</formula1>
    </dataValidation>
    <dataValidation type="decimal" operator="lessThanOrEqual" allowBlank="1" showInputMessage="1" showErrorMessage="1" sqref="B178">
      <formula1>90</formula1>
    </dataValidation>
    <dataValidation type="list" allowBlank="1" showInputMessage="1" showErrorMessage="1" sqref="B35">
      <formula1>$AO$28:$AO$29</formula1>
    </dataValidation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85" r:id="rId23"/>
  <rowBreaks count="8" manualBreakCount="8">
    <brk id="74" max="255" man="1"/>
    <brk id="131" max="255" man="1"/>
    <brk id="198" max="255" man="1"/>
    <brk id="262" max="255" man="1"/>
    <brk id="327" max="255" man="1"/>
    <brk id="393" max="255" man="1"/>
    <brk id="462" max="255" man="1"/>
    <brk id="604" max="255" man="1"/>
  </rowBreaks>
  <colBreaks count="1" manualBreakCount="1">
    <brk id="15" max="65535" man="1"/>
  </colBreaks>
  <drawing r:id="rId22"/>
  <legacyDrawing r:id="rId21"/>
  <oleObjects>
    <oleObject progId="Designer.Drawing.7" shapeId="983394" r:id="rId2"/>
    <oleObject progId="Designer.Drawing.7" shapeId="1435738" r:id="rId3"/>
    <oleObject progId="Designer.Drawing.7" shapeId="1438235" r:id="rId4"/>
    <oleObject progId="Designer.Drawing.7" shapeId="1480453" r:id="rId5"/>
    <oleObject progId="Designer.Drawing.7" shapeId="2277695" r:id="rId6"/>
    <oleObject progId="Designer.Drawing.7" shapeId="2288410" r:id="rId7"/>
    <oleObject progId="Designer.Drawing.7" shapeId="1368911" r:id="rId8"/>
    <oleObject progId="Designer.Drawing.7" shapeId="1956333" r:id="rId9"/>
    <oleObject progId="Designer.Drawing.7" shapeId="889887" r:id="rId10"/>
    <oleObject progId="Equation.3" shapeId="935978" r:id="rId11"/>
    <oleObject progId="Designer.Drawing.7" shapeId="1633829" r:id="rId12"/>
    <oleObject progId="Designer.Drawing.7" shapeId="1022266" r:id="rId13"/>
    <oleObject progId="Equation.3" shapeId="1520840" r:id="rId14"/>
    <oleObject progId="Designer.Drawing.7" shapeId="1687505" r:id="rId15"/>
    <oleObject progId="Designer.Drawing.7" shapeId="343501" r:id="rId16"/>
    <oleObject progId="Equation.3" shapeId="1778568" r:id="rId17"/>
    <oleObject progId="Equation.3" shapeId="1793622" r:id="rId18"/>
    <oleObject progId="Equation.3" shapeId="1258421" r:id="rId19"/>
    <oleObject progId="Equation.3" shapeId="1086248" r:id="rId20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M175"/>
  <sheetViews>
    <sheetView showGridLines="0" view="pageBreakPreview" zoomScaleSheetLayoutView="100" zoomScalePageLayoutView="0" workbookViewId="0" topLeftCell="A1">
      <selection activeCell="D4" sqref="D4"/>
    </sheetView>
  </sheetViews>
  <sheetFormatPr defaultColWidth="8.28125" defaultRowHeight="12"/>
  <cols>
    <col min="1" max="1" width="6.57421875" style="43" customWidth="1"/>
    <col min="2" max="2" width="7.140625" style="43" customWidth="1"/>
    <col min="3" max="3" width="9.00390625" style="43" customWidth="1"/>
    <col min="4" max="23" width="7.140625" style="43" customWidth="1"/>
    <col min="24" max="24" width="8.28125" style="43" customWidth="1"/>
    <col min="25" max="25" width="9.140625" style="43" bestFit="1" customWidth="1"/>
    <col min="26" max="27" width="8.28125" style="43" customWidth="1"/>
    <col min="28" max="28" width="9.140625" style="43" bestFit="1" customWidth="1"/>
    <col min="29" max="35" width="8.28125" style="43" customWidth="1"/>
    <col min="36" max="36" width="9.140625" style="43" bestFit="1" customWidth="1"/>
    <col min="37" max="16384" width="8.28125" style="43" customWidth="1"/>
  </cols>
  <sheetData>
    <row r="1" spans="2:9" ht="12.75" thickBot="1">
      <c r="B1" s="553" t="s">
        <v>806</v>
      </c>
      <c r="C1" s="553"/>
      <c r="D1" s="553"/>
      <c r="E1" s="553"/>
      <c r="F1" s="553"/>
      <c r="G1" s="553"/>
      <c r="H1" s="553"/>
      <c r="I1" s="553"/>
    </row>
    <row r="2" spans="1:19" ht="12">
      <c r="A2" s="29" t="s">
        <v>244</v>
      </c>
      <c r="S2" s="96" t="s">
        <v>126</v>
      </c>
    </row>
    <row r="3" spans="1:25" ht="12">
      <c r="A3" s="29" t="s">
        <v>245</v>
      </c>
      <c r="S3" s="96" t="s">
        <v>288</v>
      </c>
      <c r="Y3" s="43" t="s">
        <v>75</v>
      </c>
    </row>
    <row r="4" spans="1:36" ht="12">
      <c r="A4" s="29" t="s">
        <v>292</v>
      </c>
      <c r="S4" s="96" t="s">
        <v>289</v>
      </c>
      <c r="Y4" s="206" t="s">
        <v>297</v>
      </c>
      <c r="Z4" s="207"/>
      <c r="AA4" s="207"/>
      <c r="AB4" s="208"/>
      <c r="AD4" s="22">
        <v>1</v>
      </c>
      <c r="AE4" s="22">
        <v>2</v>
      </c>
      <c r="AF4" s="22">
        <v>3</v>
      </c>
      <c r="AG4" s="22">
        <v>4</v>
      </c>
      <c r="AH4" s="22">
        <v>5</v>
      </c>
      <c r="AI4" s="22">
        <v>6</v>
      </c>
      <c r="AJ4" s="22">
        <v>7</v>
      </c>
    </row>
    <row r="5" spans="1:36" ht="13.5">
      <c r="A5" s="29"/>
      <c r="S5" s="96" t="s">
        <v>291</v>
      </c>
      <c r="Y5" s="211">
        <v>20</v>
      </c>
      <c r="Z5" s="199"/>
      <c r="AA5" s="199"/>
      <c r="AB5" s="212"/>
      <c r="AD5" s="23" t="s">
        <v>14</v>
      </c>
      <c r="AE5" s="23" t="s">
        <v>30</v>
      </c>
      <c r="AF5" s="23" t="s">
        <v>2</v>
      </c>
      <c r="AG5" s="24" t="s">
        <v>20</v>
      </c>
      <c r="AH5" s="24" t="s">
        <v>19</v>
      </c>
      <c r="AI5" s="23" t="s">
        <v>31</v>
      </c>
      <c r="AJ5" s="23" t="s">
        <v>32</v>
      </c>
    </row>
    <row r="6" spans="2:36" ht="12.75" thickBot="1">
      <c r="B6" s="155" t="s">
        <v>248</v>
      </c>
      <c r="H6" s="155" t="s">
        <v>246</v>
      </c>
      <c r="L6" s="155" t="s">
        <v>247</v>
      </c>
      <c r="S6" s="96" t="s">
        <v>290</v>
      </c>
      <c r="Y6" s="211"/>
      <c r="Z6" s="199" t="s">
        <v>294</v>
      </c>
      <c r="AA6" s="199" t="s">
        <v>295</v>
      </c>
      <c r="AB6" s="212"/>
      <c r="AD6" s="25">
        <v>12</v>
      </c>
      <c r="AE6" s="25">
        <v>1.6</v>
      </c>
      <c r="AF6" s="25">
        <v>27</v>
      </c>
      <c r="AG6" s="25">
        <v>3.5</v>
      </c>
      <c r="AH6" s="25">
        <v>2</v>
      </c>
      <c r="AI6" s="25">
        <v>2</v>
      </c>
      <c r="AJ6" s="25">
        <v>1.1</v>
      </c>
    </row>
    <row r="7" spans="1:36" ht="14.25" thickTop="1">
      <c r="A7" s="149" t="s">
        <v>296</v>
      </c>
      <c r="B7" s="540">
        <v>6</v>
      </c>
      <c r="C7" s="151" t="s">
        <v>11</v>
      </c>
      <c r="D7" s="151" t="s">
        <v>99</v>
      </c>
      <c r="G7" s="149" t="s">
        <v>14</v>
      </c>
      <c r="H7" s="540">
        <v>25</v>
      </c>
      <c r="I7" s="151" t="s">
        <v>10</v>
      </c>
      <c r="K7" s="149"/>
      <c r="L7" s="540" t="s">
        <v>45</v>
      </c>
      <c r="M7" s="151" t="str">
        <f>"classe "&amp;IF(L7="D","(palier)","")</f>
        <v>classe (palier)</v>
      </c>
      <c r="Y7" s="211">
        <f>B28</f>
        <v>-0.2</v>
      </c>
      <c r="Z7" s="199">
        <f>B9/Y$5</f>
        <v>0.025</v>
      </c>
      <c r="AA7" s="199"/>
      <c r="AB7" s="212"/>
      <c r="AD7" s="26">
        <v>16</v>
      </c>
      <c r="AE7" s="26">
        <v>1.9</v>
      </c>
      <c r="AF7" s="26">
        <v>29</v>
      </c>
      <c r="AG7" s="26">
        <v>3.5</v>
      </c>
      <c r="AH7" s="26">
        <v>2</v>
      </c>
      <c r="AI7" s="26">
        <v>2</v>
      </c>
      <c r="AJ7" s="26">
        <v>1.3</v>
      </c>
    </row>
    <row r="8" spans="1:36" ht="13.5">
      <c r="A8" s="189" t="s">
        <v>0</v>
      </c>
      <c r="B8" s="541">
        <v>0.6</v>
      </c>
      <c r="C8" s="151" t="s">
        <v>11</v>
      </c>
      <c r="D8" s="151" t="s">
        <v>64</v>
      </c>
      <c r="G8" s="3" t="s">
        <v>230</v>
      </c>
      <c r="H8" s="541">
        <v>1.5</v>
      </c>
      <c r="K8" s="149" t="s">
        <v>228</v>
      </c>
      <c r="L8" s="541">
        <v>500</v>
      </c>
      <c r="M8" s="151" t="s">
        <v>10</v>
      </c>
      <c r="Y8" s="211">
        <f>Y7+B27</f>
        <v>6.45</v>
      </c>
      <c r="Z8" s="199">
        <f>Z7</f>
        <v>0.025</v>
      </c>
      <c r="AA8" s="199"/>
      <c r="AB8" s="212"/>
      <c r="AD8" s="26">
        <v>20</v>
      </c>
      <c r="AE8" s="26">
        <v>2.2</v>
      </c>
      <c r="AF8" s="26">
        <v>30</v>
      </c>
      <c r="AG8" s="26">
        <v>3.5</v>
      </c>
      <c r="AH8" s="26">
        <v>2</v>
      </c>
      <c r="AI8" s="26">
        <v>2</v>
      </c>
      <c r="AJ8" s="26">
        <v>1.5</v>
      </c>
    </row>
    <row r="9" spans="1:36" ht="14.25" thickBot="1">
      <c r="A9" s="189" t="s">
        <v>25</v>
      </c>
      <c r="B9" s="541">
        <v>0.5</v>
      </c>
      <c r="C9" s="151" t="s">
        <v>11</v>
      </c>
      <c r="D9" s="151" t="s">
        <v>77</v>
      </c>
      <c r="G9" s="149" t="s">
        <v>229</v>
      </c>
      <c r="H9" s="542">
        <v>1</v>
      </c>
      <c r="K9" s="3" t="s">
        <v>227</v>
      </c>
      <c r="L9" s="541">
        <v>1.15</v>
      </c>
      <c r="Y9" s="211"/>
      <c r="Z9" s="199"/>
      <c r="AA9" s="199"/>
      <c r="AB9" s="212"/>
      <c r="AD9" s="26">
        <v>25</v>
      </c>
      <c r="AE9" s="26">
        <v>2.6</v>
      </c>
      <c r="AF9" s="26">
        <v>31</v>
      </c>
      <c r="AG9" s="26">
        <v>3.5</v>
      </c>
      <c r="AH9" s="26">
        <v>2</v>
      </c>
      <c r="AI9" s="26">
        <v>2</v>
      </c>
      <c r="AJ9" s="26">
        <v>1.8</v>
      </c>
    </row>
    <row r="10" spans="1:36" ht="14.25" thickTop="1">
      <c r="A10" s="189" t="s">
        <v>40</v>
      </c>
      <c r="B10" s="541">
        <v>0.2</v>
      </c>
      <c r="C10" s="190" t="s">
        <v>11</v>
      </c>
      <c r="D10" s="151" t="s">
        <v>65</v>
      </c>
      <c r="G10" s="149" t="s">
        <v>1</v>
      </c>
      <c r="H10" s="191">
        <f>H7/H8</f>
        <v>16.666666666666668</v>
      </c>
      <c r="I10" s="151" t="s">
        <v>10</v>
      </c>
      <c r="K10" s="192" t="s">
        <v>3</v>
      </c>
      <c r="L10" s="541">
        <v>6.5</v>
      </c>
      <c r="M10" s="151" t="s">
        <v>250</v>
      </c>
      <c r="Y10" s="211">
        <f>C28</f>
        <v>0.95</v>
      </c>
      <c r="Z10" s="199">
        <f>2*B9/Y5</f>
        <v>0.05</v>
      </c>
      <c r="AA10" s="199"/>
      <c r="AB10" s="212"/>
      <c r="AD10" s="26">
        <v>30</v>
      </c>
      <c r="AE10" s="26">
        <v>2.9</v>
      </c>
      <c r="AF10" s="26">
        <v>33</v>
      </c>
      <c r="AG10" s="26">
        <v>3.5</v>
      </c>
      <c r="AH10" s="26">
        <v>2</v>
      </c>
      <c r="AI10" s="26">
        <v>2</v>
      </c>
      <c r="AJ10" s="26">
        <v>2</v>
      </c>
    </row>
    <row r="11" spans="1:36" ht="13.5">
      <c r="A11" s="149" t="s">
        <v>41</v>
      </c>
      <c r="B11" s="541">
        <v>0.1</v>
      </c>
      <c r="C11" s="151" t="s">
        <v>11</v>
      </c>
      <c r="D11" s="151" t="s">
        <v>258</v>
      </c>
      <c r="G11" s="192" t="s">
        <v>20</v>
      </c>
      <c r="H11" s="47">
        <v>3.5</v>
      </c>
      <c r="I11" s="193" t="s">
        <v>9</v>
      </c>
      <c r="K11" s="194" t="s">
        <v>226</v>
      </c>
      <c r="L11" s="541">
        <v>6</v>
      </c>
      <c r="M11" s="190" t="s">
        <v>186</v>
      </c>
      <c r="N11" s="67" t="s">
        <v>352</v>
      </c>
      <c r="P11" s="195"/>
      <c r="Y11" s="211">
        <f>Y10+C27</f>
        <v>5.55</v>
      </c>
      <c r="Z11" s="199">
        <f>Z10</f>
        <v>0.05</v>
      </c>
      <c r="AA11" s="199"/>
      <c r="AB11" s="212"/>
      <c r="AD11" s="27">
        <v>35</v>
      </c>
      <c r="AE11" s="26">
        <v>3.2</v>
      </c>
      <c r="AF11" s="26">
        <v>34</v>
      </c>
      <c r="AG11" s="26">
        <v>3.5</v>
      </c>
      <c r="AH11" s="26">
        <v>2</v>
      </c>
      <c r="AI11" s="26">
        <v>2</v>
      </c>
      <c r="AJ11" s="26">
        <v>2.2</v>
      </c>
    </row>
    <row r="12" spans="1:36" ht="13.5">
      <c r="A12" s="149" t="s">
        <v>96</v>
      </c>
      <c r="B12" s="541">
        <v>0.4</v>
      </c>
      <c r="C12" s="151" t="s">
        <v>11</v>
      </c>
      <c r="D12" s="151" t="s">
        <v>262</v>
      </c>
      <c r="G12" s="149" t="s">
        <v>343</v>
      </c>
      <c r="H12" s="178">
        <f>0.7*VLOOKUP(H7,tabfck,2)/H8</f>
        <v>1.2133333333333332</v>
      </c>
      <c r="I12" s="151" t="s">
        <v>10</v>
      </c>
      <c r="K12" s="149" t="s">
        <v>224</v>
      </c>
      <c r="L12" s="541">
        <v>15</v>
      </c>
      <c r="M12" s="151" t="s">
        <v>186</v>
      </c>
      <c r="N12" s="67" t="s">
        <v>353</v>
      </c>
      <c r="Y12" s="211"/>
      <c r="Z12" s="199"/>
      <c r="AA12" s="199"/>
      <c r="AB12" s="212"/>
      <c r="AD12" s="27">
        <v>40</v>
      </c>
      <c r="AE12" s="26">
        <v>3.5</v>
      </c>
      <c r="AF12" s="26">
        <v>35</v>
      </c>
      <c r="AG12" s="26">
        <v>3.5</v>
      </c>
      <c r="AH12" s="26">
        <v>2</v>
      </c>
      <c r="AI12" s="26">
        <v>2</v>
      </c>
      <c r="AJ12" s="26">
        <v>2.5</v>
      </c>
    </row>
    <row r="13" spans="1:36" ht="13.5">
      <c r="A13" s="149" t="s">
        <v>263</v>
      </c>
      <c r="B13" s="541">
        <v>0.4</v>
      </c>
      <c r="C13" s="151" t="s">
        <v>11</v>
      </c>
      <c r="D13" s="151" t="s">
        <v>264</v>
      </c>
      <c r="G13" s="149" t="s">
        <v>285</v>
      </c>
      <c r="H13" s="183">
        <f>MAX(1,(1.6-B9))*VLOOKUP(H7,tabfck,2)</f>
        <v>2.8600000000000003</v>
      </c>
      <c r="I13" s="151" t="s">
        <v>10</v>
      </c>
      <c r="K13" s="149" t="s">
        <v>225</v>
      </c>
      <c r="L13" s="541">
        <v>20</v>
      </c>
      <c r="M13" s="151" t="s">
        <v>186</v>
      </c>
      <c r="N13" s="67" t="s">
        <v>354</v>
      </c>
      <c r="Y13" s="211">
        <f>D28</f>
        <v>1.8</v>
      </c>
      <c r="Z13" s="199">
        <f>3*B9/Y5</f>
        <v>0.075</v>
      </c>
      <c r="AA13" s="199"/>
      <c r="AB13" s="212"/>
      <c r="AD13" s="26">
        <v>45</v>
      </c>
      <c r="AE13" s="26">
        <v>3.8</v>
      </c>
      <c r="AF13" s="26">
        <v>36</v>
      </c>
      <c r="AG13" s="26">
        <v>3.5</v>
      </c>
      <c r="AH13" s="26">
        <v>2</v>
      </c>
      <c r="AI13" s="26">
        <v>2</v>
      </c>
      <c r="AJ13" s="26">
        <v>2.7</v>
      </c>
    </row>
    <row r="14" spans="1:36" ht="14.25" thickBot="1">
      <c r="A14" s="149" t="s">
        <v>231</v>
      </c>
      <c r="B14" s="542">
        <v>20</v>
      </c>
      <c r="C14" s="142" t="s">
        <v>266</v>
      </c>
      <c r="D14" s="151" t="s">
        <v>265</v>
      </c>
      <c r="G14" s="149" t="s">
        <v>235</v>
      </c>
      <c r="H14" s="183">
        <f>0.7*VLOOKUP(H7,tabfck,2)/H8*2.25</f>
        <v>2.7299999999999995</v>
      </c>
      <c r="I14" s="151" t="s">
        <v>10</v>
      </c>
      <c r="K14" s="149" t="s">
        <v>239</v>
      </c>
      <c r="L14" s="542">
        <f>0.9*B9</f>
        <v>0.45</v>
      </c>
      <c r="M14" s="151" t="s">
        <v>11</v>
      </c>
      <c r="N14" s="196" t="s">
        <v>249</v>
      </c>
      <c r="Y14" s="211">
        <f>Y13+D27</f>
        <v>4.7</v>
      </c>
      <c r="Z14" s="199">
        <f>Z13</f>
        <v>0.075</v>
      </c>
      <c r="AA14" s="199"/>
      <c r="AB14" s="212"/>
      <c r="AD14" s="26">
        <v>50</v>
      </c>
      <c r="AE14" s="26">
        <v>4.1</v>
      </c>
      <c r="AF14" s="26">
        <v>37</v>
      </c>
      <c r="AG14" s="26">
        <v>3.5</v>
      </c>
      <c r="AH14" s="26">
        <v>2</v>
      </c>
      <c r="AI14" s="26">
        <v>2</v>
      </c>
      <c r="AJ14" s="26">
        <v>2.9</v>
      </c>
    </row>
    <row r="15" spans="1:36" ht="14.25" thickTop="1">
      <c r="A15" s="149" t="s">
        <v>282</v>
      </c>
      <c r="B15" s="197">
        <f>MIN(B9,B12)/2</f>
        <v>0.2</v>
      </c>
      <c r="C15" s="151" t="s">
        <v>11</v>
      </c>
      <c r="D15" s="195" t="s">
        <v>283</v>
      </c>
      <c r="G15" s="149" t="s">
        <v>237</v>
      </c>
      <c r="H15" s="48">
        <f>H14*IF(B9-(B9-L14)-0.016&gt;0.25,0.7,1)</f>
        <v>1.9109999999999996</v>
      </c>
      <c r="I15" s="151" t="s">
        <v>10</v>
      </c>
      <c r="K15" s="149" t="s">
        <v>4</v>
      </c>
      <c r="L15" s="198">
        <f>L8/L9</f>
        <v>434.7826086956522</v>
      </c>
      <c r="M15" s="151" t="s">
        <v>10</v>
      </c>
      <c r="N15" s="267" t="s">
        <v>349</v>
      </c>
      <c r="Y15" s="211"/>
      <c r="Z15" s="199"/>
      <c r="AA15" s="199"/>
      <c r="AB15" s="212"/>
      <c r="AD15" s="26">
        <v>55</v>
      </c>
      <c r="AE15" s="26">
        <v>4.2</v>
      </c>
      <c r="AF15" s="26">
        <v>38</v>
      </c>
      <c r="AG15" s="26">
        <v>3.1</v>
      </c>
      <c r="AH15" s="26">
        <v>2.2</v>
      </c>
      <c r="AI15" s="26">
        <v>1.75</v>
      </c>
      <c r="AJ15" s="26">
        <v>3</v>
      </c>
    </row>
    <row r="16" spans="1:36" ht="13.5">
      <c r="A16" s="149" t="s">
        <v>334</v>
      </c>
      <c r="B16" s="47">
        <f>MIN(B9,B13)/2</f>
        <v>0.2</v>
      </c>
      <c r="C16" s="151" t="s">
        <v>11</v>
      </c>
      <c r="D16" s="195" t="s">
        <v>335</v>
      </c>
      <c r="G16" s="149" t="s">
        <v>286</v>
      </c>
      <c r="H16" s="266">
        <f>200000/L10</f>
        <v>30769.23076923077</v>
      </c>
      <c r="I16" s="151" t="s">
        <v>10</v>
      </c>
      <c r="K16" s="192" t="s">
        <v>8</v>
      </c>
      <c r="L16" s="47">
        <f>VLOOKUP(L7,taba,3)</f>
        <v>25</v>
      </c>
      <c r="M16" s="193" t="s">
        <v>9</v>
      </c>
      <c r="Y16" s="211">
        <v>0</v>
      </c>
      <c r="Z16" s="199"/>
      <c r="AA16" s="199">
        <f>(Y5-1)/Y5*B9</f>
        <v>0.475</v>
      </c>
      <c r="AB16" s="212"/>
      <c r="AD16" s="26">
        <v>60</v>
      </c>
      <c r="AE16" s="26">
        <v>4.4</v>
      </c>
      <c r="AF16" s="26">
        <v>39</v>
      </c>
      <c r="AG16" s="26">
        <v>2.9</v>
      </c>
      <c r="AH16" s="26">
        <v>2.3</v>
      </c>
      <c r="AI16" s="26">
        <v>1.6</v>
      </c>
      <c r="AJ16" s="26">
        <v>3.1</v>
      </c>
    </row>
    <row r="17" spans="1:36" ht="13.5">
      <c r="A17" s="149" t="s">
        <v>97</v>
      </c>
      <c r="B17" s="167">
        <f>B7+MIN(B9,B12)/2+MIN(B9,B13)/2</f>
        <v>6.4</v>
      </c>
      <c r="C17" s="151" t="s">
        <v>11</v>
      </c>
      <c r="D17" s="151" t="s">
        <v>267</v>
      </c>
      <c r="G17" s="149" t="s">
        <v>344</v>
      </c>
      <c r="H17" s="261">
        <f>0.25*L$15/H14</f>
        <v>39.81525720656156</v>
      </c>
      <c r="I17" s="151"/>
      <c r="K17" s="189" t="s">
        <v>7</v>
      </c>
      <c r="L17" s="47">
        <f>VLOOKUP(L7,taba,2)</f>
        <v>1</v>
      </c>
      <c r="M17" s="199"/>
      <c r="Y17" s="211">
        <f>E28</f>
        <v>1.8</v>
      </c>
      <c r="Z17" s="199"/>
      <c r="AA17" s="199">
        <f>AA16</f>
        <v>0.475</v>
      </c>
      <c r="AB17" s="212"/>
      <c r="AD17" s="26">
        <v>70</v>
      </c>
      <c r="AE17" s="26">
        <v>4.6</v>
      </c>
      <c r="AF17" s="26">
        <v>41</v>
      </c>
      <c r="AG17" s="26">
        <v>2.7</v>
      </c>
      <c r="AH17" s="26">
        <v>2.4</v>
      </c>
      <c r="AI17" s="26">
        <v>1.45</v>
      </c>
      <c r="AJ17" s="26">
        <v>3.2</v>
      </c>
    </row>
    <row r="18" spans="7:36" ht="13.5">
      <c r="G18" s="149" t="s">
        <v>345</v>
      </c>
      <c r="H18" s="262">
        <f>0.25*L$15/H15</f>
        <v>56.87893886651652</v>
      </c>
      <c r="I18" s="151"/>
      <c r="K18" s="149" t="s">
        <v>238</v>
      </c>
      <c r="L18" s="184">
        <f>0.5*0.9*L14*H9</f>
        <v>0.2025</v>
      </c>
      <c r="M18" s="151" t="s">
        <v>251</v>
      </c>
      <c r="N18" s="199"/>
      <c r="Y18" s="211"/>
      <c r="Z18" s="199"/>
      <c r="AA18" s="199"/>
      <c r="AB18" s="212"/>
      <c r="AD18" s="26">
        <v>80</v>
      </c>
      <c r="AE18" s="26">
        <v>4.8</v>
      </c>
      <c r="AF18" s="26">
        <v>42</v>
      </c>
      <c r="AG18" s="26">
        <v>2.6</v>
      </c>
      <c r="AH18" s="26">
        <v>2.5</v>
      </c>
      <c r="AI18" s="26">
        <v>1.4</v>
      </c>
      <c r="AJ18" s="26">
        <v>3.4</v>
      </c>
    </row>
    <row r="19" spans="1:36" ht="12">
      <c r="A19" s="29" t="s">
        <v>298</v>
      </c>
      <c r="Y19" s="211">
        <v>0</v>
      </c>
      <c r="Z19" s="199"/>
      <c r="AA19" s="199">
        <f>(Y5-2)/Y5*B9</f>
        <v>0.45</v>
      </c>
      <c r="AB19" s="212"/>
      <c r="AD19" s="28">
        <v>90</v>
      </c>
      <c r="AE19" s="28">
        <v>5</v>
      </c>
      <c r="AF19" s="28">
        <v>44</v>
      </c>
      <c r="AG19" s="28">
        <v>2.6</v>
      </c>
      <c r="AH19" s="28">
        <v>2.6</v>
      </c>
      <c r="AI19" s="28">
        <v>1.4</v>
      </c>
      <c r="AJ19" s="28">
        <v>3.5</v>
      </c>
    </row>
    <row r="20" spans="2:28" ht="12.75" thickBot="1">
      <c r="B20" s="155" t="s">
        <v>299</v>
      </c>
      <c r="C20" s="155" t="s">
        <v>300</v>
      </c>
      <c r="I20" s="149"/>
      <c r="L20" s="151"/>
      <c r="Y20" s="211">
        <f>F28</f>
        <v>0.9</v>
      </c>
      <c r="Z20" s="199"/>
      <c r="AA20" s="199">
        <f>AA19</f>
        <v>0.45</v>
      </c>
      <c r="AB20" s="212"/>
    </row>
    <row r="21" spans="1:33" ht="14.25" thickTop="1">
      <c r="A21" s="149" t="s">
        <v>213</v>
      </c>
      <c r="B21" s="543">
        <v>34</v>
      </c>
      <c r="C21" s="544">
        <v>48</v>
      </c>
      <c r="D21" s="151" t="s">
        <v>98</v>
      </c>
      <c r="E21" s="151" t="s">
        <v>259</v>
      </c>
      <c r="H21" s="149"/>
      <c r="J21" s="149"/>
      <c r="K21" s="200"/>
      <c r="L21" s="151"/>
      <c r="Y21" s="211"/>
      <c r="Z21" s="199"/>
      <c r="AA21" s="199"/>
      <c r="AB21" s="212"/>
      <c r="AE21" s="206"/>
      <c r="AF21" s="207" t="s">
        <v>7</v>
      </c>
      <c r="AG21" s="163" t="s">
        <v>8</v>
      </c>
    </row>
    <row r="22" spans="1:33" ht="13.5">
      <c r="A22" s="149" t="s">
        <v>233</v>
      </c>
      <c r="B22" s="545">
        <v>-50</v>
      </c>
      <c r="C22" s="546">
        <v>-80</v>
      </c>
      <c r="D22" s="151" t="s">
        <v>12</v>
      </c>
      <c r="E22" s="151" t="s">
        <v>260</v>
      </c>
      <c r="H22" s="149"/>
      <c r="J22" s="149"/>
      <c r="K22" s="200"/>
      <c r="L22" s="151"/>
      <c r="Y22" s="211">
        <v>0</v>
      </c>
      <c r="Z22" s="199"/>
      <c r="AA22" s="199">
        <f>(Y5-3)/Y5*B9</f>
        <v>0.425</v>
      </c>
      <c r="AB22" s="212"/>
      <c r="AE22" s="206" t="s">
        <v>6</v>
      </c>
      <c r="AF22" s="207">
        <v>1.05</v>
      </c>
      <c r="AG22" s="208">
        <v>25</v>
      </c>
    </row>
    <row r="23" spans="1:33" ht="14.25" thickBot="1">
      <c r="A23" s="149" t="s">
        <v>234</v>
      </c>
      <c r="B23" s="527">
        <v>0</v>
      </c>
      <c r="C23" s="547">
        <v>0</v>
      </c>
      <c r="D23" s="151" t="s">
        <v>12</v>
      </c>
      <c r="E23" s="151" t="s">
        <v>261</v>
      </c>
      <c r="H23" s="149"/>
      <c r="J23" s="149"/>
      <c r="K23" s="200"/>
      <c r="Y23" s="211">
        <f>G28</f>
        <v>0</v>
      </c>
      <c r="Z23" s="199"/>
      <c r="AA23" s="199">
        <f>AA22</f>
        <v>0.425</v>
      </c>
      <c r="AB23" s="212"/>
      <c r="AE23" s="211" t="s">
        <v>43</v>
      </c>
      <c r="AF23" s="199">
        <v>1.08</v>
      </c>
      <c r="AG23" s="212">
        <v>50</v>
      </c>
    </row>
    <row r="24" spans="15:33" ht="12.75" thickTop="1">
      <c r="O24" s="151"/>
      <c r="Y24" s="211"/>
      <c r="Z24" s="199"/>
      <c r="AA24" s="199"/>
      <c r="AB24" s="212"/>
      <c r="AE24" s="211" t="s">
        <v>44</v>
      </c>
      <c r="AF24" s="199">
        <v>1.15</v>
      </c>
      <c r="AG24" s="212">
        <v>75</v>
      </c>
    </row>
    <row r="25" spans="2:33" ht="12.75" thickBot="1">
      <c r="B25" s="201" t="s">
        <v>78</v>
      </c>
      <c r="C25" s="202"/>
      <c r="D25" s="203"/>
      <c r="E25" s="201" t="s">
        <v>216</v>
      </c>
      <c r="F25" s="202"/>
      <c r="G25" s="203"/>
      <c r="H25" s="201" t="s">
        <v>217</v>
      </c>
      <c r="I25" s="202"/>
      <c r="J25" s="203"/>
      <c r="K25" s="138" t="s">
        <v>223</v>
      </c>
      <c r="Y25" s="211">
        <f>B7-H28</f>
        <v>5.4</v>
      </c>
      <c r="Z25" s="199"/>
      <c r="AA25" s="199">
        <f>AA16</f>
        <v>0.475</v>
      </c>
      <c r="AB25" s="212"/>
      <c r="AE25" s="219" t="s">
        <v>45</v>
      </c>
      <c r="AF25" s="220">
        <v>1</v>
      </c>
      <c r="AG25" s="221">
        <v>25</v>
      </c>
    </row>
    <row r="26" spans="2:33" ht="12.75" thickTop="1">
      <c r="B26" s="543" t="s">
        <v>331</v>
      </c>
      <c r="C26" s="548" t="s">
        <v>332</v>
      </c>
      <c r="D26" s="548" t="s">
        <v>280</v>
      </c>
      <c r="E26" s="515" t="s">
        <v>214</v>
      </c>
      <c r="F26" s="515" t="s">
        <v>214</v>
      </c>
      <c r="G26" s="548"/>
      <c r="H26" s="548" t="s">
        <v>215</v>
      </c>
      <c r="I26" s="548"/>
      <c r="J26" s="551"/>
      <c r="Y26" s="211">
        <f>B7</f>
        <v>6</v>
      </c>
      <c r="Z26" s="199"/>
      <c r="AA26" s="199">
        <f aca="true" t="shared" si="0" ref="AA26:AA32">AA17</f>
        <v>0.475</v>
      </c>
      <c r="AB26" s="212"/>
      <c r="AG26" s="20" t="s">
        <v>9</v>
      </c>
    </row>
    <row r="27" spans="1:31" ht="13.5">
      <c r="A27" s="149" t="s">
        <v>270</v>
      </c>
      <c r="B27" s="545">
        <v>6.65</v>
      </c>
      <c r="C27" s="549">
        <v>4.6</v>
      </c>
      <c r="D27" s="549">
        <v>2.9</v>
      </c>
      <c r="E27" s="204"/>
      <c r="F27" s="204"/>
      <c r="G27" s="204"/>
      <c r="H27" s="204"/>
      <c r="I27" s="204"/>
      <c r="J27" s="205"/>
      <c r="K27" s="151" t="s">
        <v>11</v>
      </c>
      <c r="L27" s="151" t="s">
        <v>268</v>
      </c>
      <c r="Y27" s="211"/>
      <c r="Z27" s="199"/>
      <c r="AA27" s="199"/>
      <c r="AB27" s="212"/>
      <c r="AE27" s="43" t="s">
        <v>308</v>
      </c>
    </row>
    <row r="28" spans="1:36" ht="14.25" thickBot="1">
      <c r="A28" s="149" t="s">
        <v>232</v>
      </c>
      <c r="B28" s="527">
        <v>-0.2</v>
      </c>
      <c r="C28" s="550">
        <v>0.95</v>
      </c>
      <c r="D28" s="550">
        <v>1.8</v>
      </c>
      <c r="E28" s="550">
        <v>1.8</v>
      </c>
      <c r="F28" s="550">
        <v>0.9</v>
      </c>
      <c r="G28" s="550"/>
      <c r="H28" s="550">
        <v>0.6</v>
      </c>
      <c r="I28" s="550"/>
      <c r="J28" s="552"/>
      <c r="K28" s="151" t="s">
        <v>11</v>
      </c>
      <c r="L28" s="151" t="s">
        <v>269</v>
      </c>
      <c r="Y28" s="211">
        <f>B7-I28</f>
        <v>6</v>
      </c>
      <c r="Z28" s="199"/>
      <c r="AA28" s="199">
        <f t="shared" si="0"/>
        <v>0.45</v>
      </c>
      <c r="AB28" s="212"/>
      <c r="AE28" s="206"/>
      <c r="AF28" s="207" t="s">
        <v>306</v>
      </c>
      <c r="AG28" s="207" t="s">
        <v>307</v>
      </c>
      <c r="AH28" s="207"/>
      <c r="AI28" s="207"/>
      <c r="AJ28" s="208"/>
    </row>
    <row r="29" spans="1:36" ht="14.25" thickTop="1">
      <c r="A29" s="149" t="s">
        <v>274</v>
      </c>
      <c r="B29" s="209" t="str">
        <f>IF(B26="","",fnbphi(B26,1))</f>
        <v>3</v>
      </c>
      <c r="C29" s="197" t="str">
        <f aca="true" t="shared" si="1" ref="C29:J29">IF(C26="","",fnbphi(C26,1))</f>
        <v>2</v>
      </c>
      <c r="D29" s="197" t="str">
        <f t="shared" si="1"/>
        <v>2</v>
      </c>
      <c r="E29" s="197" t="str">
        <f t="shared" si="1"/>
        <v>3</v>
      </c>
      <c r="F29" s="197" t="str">
        <f t="shared" si="1"/>
        <v>3</v>
      </c>
      <c r="G29" s="197">
        <f t="shared" si="1"/>
      </c>
      <c r="H29" s="197" t="str">
        <f t="shared" si="1"/>
        <v>3</v>
      </c>
      <c r="I29" s="197">
        <f t="shared" si="1"/>
      </c>
      <c r="J29" s="210">
        <f t="shared" si="1"/>
      </c>
      <c r="L29" s="4" t="s">
        <v>355</v>
      </c>
      <c r="Y29" s="211">
        <f>B7</f>
        <v>6</v>
      </c>
      <c r="Z29" s="199"/>
      <c r="AA29" s="199">
        <f t="shared" si="0"/>
        <v>0.45</v>
      </c>
      <c r="AB29" s="212"/>
      <c r="AE29" s="211">
        <v>0</v>
      </c>
      <c r="AF29" s="199">
        <f>B22</f>
        <v>-50</v>
      </c>
      <c r="AG29" s="199">
        <f>C22</f>
        <v>-80</v>
      </c>
      <c r="AH29" s="199"/>
      <c r="AI29" s="199"/>
      <c r="AJ29" s="212"/>
    </row>
    <row r="30" spans="1:36" ht="12">
      <c r="A30" s="144" t="s">
        <v>273</v>
      </c>
      <c r="B30" s="213" t="str">
        <f>IF(B26="","",fnbphi(B26,2))</f>
        <v>16</v>
      </c>
      <c r="C30" s="214" t="str">
        <f aca="true" t="shared" si="2" ref="C30:J30">IF(C26="","",fnbphi(C26,2))</f>
        <v>14</v>
      </c>
      <c r="D30" s="214" t="str">
        <f t="shared" si="2"/>
        <v>12</v>
      </c>
      <c r="E30" s="214" t="str">
        <f t="shared" si="2"/>
        <v>12</v>
      </c>
      <c r="F30" s="214" t="str">
        <f t="shared" si="2"/>
        <v>12</v>
      </c>
      <c r="G30" s="214">
        <f t="shared" si="2"/>
      </c>
      <c r="H30" s="214" t="str">
        <f t="shared" si="2"/>
        <v>10</v>
      </c>
      <c r="I30" s="214">
        <f t="shared" si="2"/>
      </c>
      <c r="J30" s="215">
        <f t="shared" si="2"/>
      </c>
      <c r="K30" s="151" t="s">
        <v>186</v>
      </c>
      <c r="L30" s="151" t="s">
        <v>271</v>
      </c>
      <c r="O30" s="151"/>
      <c r="Q30" s="195"/>
      <c r="Y30" s="211"/>
      <c r="Z30" s="199"/>
      <c r="AA30" s="199"/>
      <c r="AB30" s="212"/>
      <c r="AE30" s="259">
        <f aca="true" t="shared" si="3" ref="AE30:AE50">B95</f>
        <v>0.2</v>
      </c>
      <c r="AF30" s="247">
        <f aca="true" t="shared" si="4" ref="AF30:AF50">C121</f>
        <v>-27.357499999999998</v>
      </c>
      <c r="AG30" s="247">
        <f aca="true" t="shared" si="5" ref="AG30:AG50">C95</f>
        <v>-47.739999999999995</v>
      </c>
      <c r="AH30" s="199"/>
      <c r="AI30" s="199"/>
      <c r="AJ30" s="212"/>
    </row>
    <row r="31" spans="1:36" ht="13.5">
      <c r="A31" s="149" t="s">
        <v>236</v>
      </c>
      <c r="B31" s="216">
        <f>IF(B26="","",B29*B30^2/400*PI())</f>
        <v>6.031857894892402</v>
      </c>
      <c r="C31" s="217">
        <f aca="true" t="shared" si="6" ref="C31:J31">IF(C26="","",C29*C30^2/400*PI())</f>
        <v>3.078760800517997</v>
      </c>
      <c r="D31" s="217">
        <f>IF(D26="","",D29*D30^2/400*PI())</f>
        <v>2.261946710584651</v>
      </c>
      <c r="E31" s="217">
        <f t="shared" si="6"/>
        <v>3.392920065876977</v>
      </c>
      <c r="F31" s="217">
        <f>IF(F26="","",F29*F30^2/400*PI())</f>
        <v>3.392920065876977</v>
      </c>
      <c r="G31" s="217">
        <f t="shared" si="6"/>
      </c>
      <c r="H31" s="217">
        <f t="shared" si="6"/>
        <v>2.356194490192345</v>
      </c>
      <c r="I31" s="217">
        <f t="shared" si="6"/>
      </c>
      <c r="J31" s="218">
        <f t="shared" si="6"/>
      </c>
      <c r="K31" s="190" t="s">
        <v>13</v>
      </c>
      <c r="L31" s="151" t="s">
        <v>272</v>
      </c>
      <c r="Y31" s="211">
        <f>B7-J28</f>
        <v>6</v>
      </c>
      <c r="Z31" s="199"/>
      <c r="AA31" s="199">
        <f t="shared" si="0"/>
        <v>0.425</v>
      </c>
      <c r="AB31" s="212"/>
      <c r="AE31" s="259">
        <f t="shared" si="3"/>
        <v>0.5</v>
      </c>
      <c r="AF31" s="247">
        <f t="shared" si="4"/>
        <v>4.056250000000006</v>
      </c>
      <c r="AG31" s="247">
        <f t="shared" si="5"/>
        <v>-2.9499999999999886</v>
      </c>
      <c r="AH31" s="199"/>
      <c r="AI31" s="199"/>
      <c r="AJ31" s="212"/>
    </row>
    <row r="32" spans="1:36" ht="12">
      <c r="A32" s="149" t="s">
        <v>281</v>
      </c>
      <c r="B32" s="222">
        <f aca="true" t="shared" si="7" ref="B32:G32">IF(B26="","",B28+MIN($B9,$B12)/2)</f>
        <v>0</v>
      </c>
      <c r="C32" s="223">
        <f t="shared" si="7"/>
        <v>1.15</v>
      </c>
      <c r="D32" s="223">
        <f t="shared" si="7"/>
        <v>2</v>
      </c>
      <c r="E32" s="223">
        <f t="shared" si="7"/>
        <v>2</v>
      </c>
      <c r="F32" s="223">
        <f t="shared" si="7"/>
        <v>1.1</v>
      </c>
      <c r="G32" s="223">
        <f t="shared" si="7"/>
      </c>
      <c r="H32" s="223">
        <f>IF(H26="","",H28+MIN(B$9,B$13)/2)</f>
        <v>0.8</v>
      </c>
      <c r="I32" s="223">
        <f>IF(I26="","",I28+MIN(C$9,C$13)/2)</f>
      </c>
      <c r="J32" s="224">
        <f>IF(J26="","",J28+MIN(D$9,D$13)/2)</f>
      </c>
      <c r="K32" s="151" t="s">
        <v>11</v>
      </c>
      <c r="L32" s="4" t="s">
        <v>356</v>
      </c>
      <c r="O32" s="149"/>
      <c r="R32" s="152"/>
      <c r="Y32" s="211">
        <f>B7</f>
        <v>6</v>
      </c>
      <c r="Z32" s="199"/>
      <c r="AA32" s="199">
        <f t="shared" si="0"/>
        <v>0.425</v>
      </c>
      <c r="AB32" s="212"/>
      <c r="AE32" s="259">
        <f t="shared" si="3"/>
        <v>0.8</v>
      </c>
      <c r="AF32" s="247">
        <f t="shared" si="4"/>
        <v>32.41000000000001</v>
      </c>
      <c r="AG32" s="247">
        <f t="shared" si="5"/>
        <v>37.520000000000024</v>
      </c>
      <c r="AH32" s="199"/>
      <c r="AI32" s="199"/>
      <c r="AJ32" s="212"/>
    </row>
    <row r="33" spans="15:36" ht="12">
      <c r="O33" s="149"/>
      <c r="R33" s="152"/>
      <c r="Y33" s="211"/>
      <c r="Z33" s="199"/>
      <c r="AA33" s="199"/>
      <c r="AB33" s="212"/>
      <c r="AE33" s="259">
        <f t="shared" si="3"/>
        <v>1.0999999999999999</v>
      </c>
      <c r="AF33" s="247">
        <f t="shared" si="4"/>
        <v>57.703750000000014</v>
      </c>
      <c r="AG33" s="247">
        <f t="shared" si="5"/>
        <v>73.67000000000002</v>
      </c>
      <c r="AH33" s="199"/>
      <c r="AI33" s="199"/>
      <c r="AJ33" s="212"/>
    </row>
    <row r="34" spans="25:36" ht="12">
      <c r="Y34" s="211">
        <v>0</v>
      </c>
      <c r="Z34" s="199"/>
      <c r="AA34" s="199"/>
      <c r="AB34" s="212">
        <v>0</v>
      </c>
      <c r="AE34" s="259">
        <f t="shared" si="3"/>
        <v>1.4000000000000001</v>
      </c>
      <c r="AF34" s="247">
        <f t="shared" si="4"/>
        <v>79.9375</v>
      </c>
      <c r="AG34" s="247">
        <f t="shared" si="5"/>
        <v>105.5</v>
      </c>
      <c r="AH34" s="199"/>
      <c r="AI34" s="199"/>
      <c r="AJ34" s="212"/>
    </row>
    <row r="35" spans="11:36" ht="12">
      <c r="K35" s="3"/>
      <c r="Y35" s="211">
        <v>0</v>
      </c>
      <c r="Z35" s="199"/>
      <c r="AA35" s="199"/>
      <c r="AB35" s="212">
        <f>B9</f>
        <v>0.5</v>
      </c>
      <c r="AE35" s="259">
        <f t="shared" si="3"/>
        <v>1.7</v>
      </c>
      <c r="AF35" s="247">
        <f t="shared" si="4"/>
        <v>99.11125000000001</v>
      </c>
      <c r="AG35" s="247">
        <f t="shared" si="5"/>
        <v>133.01</v>
      </c>
      <c r="AH35" s="199"/>
      <c r="AI35" s="199"/>
      <c r="AJ35" s="212"/>
    </row>
    <row r="36" spans="25:36" ht="12">
      <c r="Y36" s="211">
        <f>B7</f>
        <v>6</v>
      </c>
      <c r="Z36" s="199"/>
      <c r="AA36" s="199"/>
      <c r="AB36" s="212">
        <f>AB35</f>
        <v>0.5</v>
      </c>
      <c r="AE36" s="259">
        <f t="shared" si="3"/>
        <v>1.9999999999999998</v>
      </c>
      <c r="AF36" s="247">
        <f t="shared" si="4"/>
        <v>115.225</v>
      </c>
      <c r="AG36" s="247">
        <f t="shared" si="5"/>
        <v>156.2</v>
      </c>
      <c r="AH36" s="199"/>
      <c r="AI36" s="199"/>
      <c r="AJ36" s="212"/>
    </row>
    <row r="37" spans="14:36" ht="12">
      <c r="N37" s="233"/>
      <c r="O37" s="151"/>
      <c r="Y37" s="211">
        <f>Y36</f>
        <v>6</v>
      </c>
      <c r="Z37" s="199"/>
      <c r="AA37" s="199"/>
      <c r="AB37" s="212">
        <v>0</v>
      </c>
      <c r="AE37" s="259">
        <f t="shared" si="3"/>
        <v>2.3</v>
      </c>
      <c r="AF37" s="247">
        <f t="shared" si="4"/>
        <v>128.27875</v>
      </c>
      <c r="AG37" s="247">
        <f t="shared" si="5"/>
        <v>175.07000000000002</v>
      </c>
      <c r="AH37" s="199"/>
      <c r="AI37" s="199"/>
      <c r="AJ37" s="212"/>
    </row>
    <row r="38" spans="15:36" ht="12">
      <c r="O38" s="235"/>
      <c r="Y38" s="219">
        <v>0</v>
      </c>
      <c r="Z38" s="220"/>
      <c r="AA38" s="220"/>
      <c r="AB38" s="221">
        <v>0</v>
      </c>
      <c r="AE38" s="259">
        <f t="shared" si="3"/>
        <v>2.6000000000000005</v>
      </c>
      <c r="AF38" s="247">
        <f t="shared" si="4"/>
        <v>138.27250000000004</v>
      </c>
      <c r="AG38" s="247">
        <f t="shared" si="5"/>
        <v>189.62000000000003</v>
      </c>
      <c r="AH38" s="199"/>
      <c r="AI38" s="199"/>
      <c r="AJ38" s="212"/>
    </row>
    <row r="39" spans="3:36" ht="12">
      <c r="C39" s="149"/>
      <c r="D39" s="149"/>
      <c r="E39" s="151"/>
      <c r="O39" s="235"/>
      <c r="X39" s="3"/>
      <c r="Z39" s="151"/>
      <c r="AE39" s="259">
        <f t="shared" si="3"/>
        <v>2.9000000000000004</v>
      </c>
      <c r="AF39" s="247">
        <f t="shared" si="4"/>
        <v>145.20625</v>
      </c>
      <c r="AG39" s="247">
        <f t="shared" si="5"/>
        <v>199.85000000000002</v>
      </c>
      <c r="AH39" s="199"/>
      <c r="AI39" s="199"/>
      <c r="AJ39" s="212"/>
    </row>
    <row r="40" spans="3:36" ht="12">
      <c r="C40" s="149"/>
      <c r="D40" s="149"/>
      <c r="E40" s="151"/>
      <c r="O40" s="235"/>
      <c r="AE40" s="259">
        <f t="shared" si="3"/>
        <v>3.2</v>
      </c>
      <c r="AF40" s="247">
        <f t="shared" si="4"/>
        <v>149.08000000000004</v>
      </c>
      <c r="AG40" s="247">
        <f t="shared" si="5"/>
        <v>205.76000000000005</v>
      </c>
      <c r="AH40" s="199"/>
      <c r="AI40" s="199"/>
      <c r="AJ40" s="212"/>
    </row>
    <row r="41" spans="3:36" ht="13.5">
      <c r="C41" s="149"/>
      <c r="D41" s="149"/>
      <c r="E41" s="151"/>
      <c r="O41" s="235"/>
      <c r="Q41" s="149" t="s">
        <v>350</v>
      </c>
      <c r="R41" s="151" t="s">
        <v>351</v>
      </c>
      <c r="Y41"/>
      <c r="Z41"/>
      <c r="AA41"/>
      <c r="AB41"/>
      <c r="AC41"/>
      <c r="AE41" s="259">
        <f t="shared" si="3"/>
        <v>3.5000000000000004</v>
      </c>
      <c r="AF41" s="247">
        <f t="shared" si="4"/>
        <v>149.89375</v>
      </c>
      <c r="AG41" s="247">
        <f t="shared" si="5"/>
        <v>207.35000000000002</v>
      </c>
      <c r="AH41" s="199"/>
      <c r="AI41" s="199"/>
      <c r="AJ41" s="212"/>
    </row>
    <row r="42" spans="3:36" ht="12">
      <c r="C42" s="149"/>
      <c r="D42" s="149"/>
      <c r="E42" s="151"/>
      <c r="O42" s="235"/>
      <c r="Y42"/>
      <c r="Z42"/>
      <c r="AA42"/>
      <c r="AB42"/>
      <c r="AC42"/>
      <c r="AE42" s="259">
        <f t="shared" si="3"/>
        <v>3.8</v>
      </c>
      <c r="AF42" s="247">
        <f t="shared" si="4"/>
        <v>147.6475</v>
      </c>
      <c r="AG42" s="247">
        <f t="shared" si="5"/>
        <v>204.62000000000003</v>
      </c>
      <c r="AH42" s="199"/>
      <c r="AI42" s="199"/>
      <c r="AJ42" s="212"/>
    </row>
    <row r="43" spans="3:36" ht="12">
      <c r="C43" s="149"/>
      <c r="D43" s="149"/>
      <c r="E43" s="151"/>
      <c r="O43" s="235"/>
      <c r="Y43"/>
      <c r="Z43"/>
      <c r="AA43"/>
      <c r="AB43"/>
      <c r="AC43"/>
      <c r="AE43" s="259">
        <f t="shared" si="3"/>
        <v>4.1000000000000005</v>
      </c>
      <c r="AF43" s="247">
        <f t="shared" si="4"/>
        <v>142.34125</v>
      </c>
      <c r="AG43" s="247">
        <f t="shared" si="5"/>
        <v>197.57</v>
      </c>
      <c r="AH43" s="199"/>
      <c r="AI43" s="199"/>
      <c r="AJ43" s="212"/>
    </row>
    <row r="44" spans="3:36" ht="12">
      <c r="C44" s="149"/>
      <c r="D44" s="149"/>
      <c r="E44" s="151"/>
      <c r="O44" s="235"/>
      <c r="Y44"/>
      <c r="Z44"/>
      <c r="AA44"/>
      <c r="AB44"/>
      <c r="AC44"/>
      <c r="AE44" s="259">
        <f t="shared" si="3"/>
        <v>4.3999999999999995</v>
      </c>
      <c r="AF44" s="247">
        <f t="shared" si="4"/>
        <v>133.97500000000005</v>
      </c>
      <c r="AG44" s="247">
        <f t="shared" si="5"/>
        <v>186.20000000000007</v>
      </c>
      <c r="AH44" s="199"/>
      <c r="AI44" s="199"/>
      <c r="AJ44" s="212"/>
    </row>
    <row r="45" spans="3:36" ht="12">
      <c r="C45" s="149"/>
      <c r="D45" s="149"/>
      <c r="E45" s="151"/>
      <c r="O45" s="235"/>
      <c r="Y45"/>
      <c r="Z45"/>
      <c r="AA45"/>
      <c r="AB45"/>
      <c r="AC45"/>
      <c r="AE45" s="259">
        <f t="shared" si="3"/>
        <v>4.7</v>
      </c>
      <c r="AF45" s="247">
        <f t="shared" si="4"/>
        <v>122.54875000000001</v>
      </c>
      <c r="AG45" s="247">
        <f t="shared" si="5"/>
        <v>170.51000000000005</v>
      </c>
      <c r="AH45" s="199"/>
      <c r="AI45" s="199"/>
      <c r="AJ45" s="212"/>
    </row>
    <row r="46" spans="3:36" ht="12">
      <c r="C46" s="149"/>
      <c r="D46" s="149"/>
      <c r="E46" s="151"/>
      <c r="O46" s="235"/>
      <c r="Y46"/>
      <c r="Z46"/>
      <c r="AA46"/>
      <c r="AB46"/>
      <c r="AC46"/>
      <c r="AE46" s="259">
        <f t="shared" si="3"/>
        <v>5.000000000000001</v>
      </c>
      <c r="AF46" s="247">
        <f t="shared" si="4"/>
        <v>108.06249999999997</v>
      </c>
      <c r="AG46" s="247">
        <f t="shared" si="5"/>
        <v>150.49999999999997</v>
      </c>
      <c r="AH46" s="199"/>
      <c r="AI46" s="199"/>
      <c r="AJ46" s="212"/>
    </row>
    <row r="47" spans="3:36" ht="12">
      <c r="C47" s="149"/>
      <c r="D47" s="149"/>
      <c r="E47" s="151"/>
      <c r="O47" s="235"/>
      <c r="Y47"/>
      <c r="Z47"/>
      <c r="AA47"/>
      <c r="AB47"/>
      <c r="AC47"/>
      <c r="AE47" s="259">
        <f t="shared" si="3"/>
        <v>5.3</v>
      </c>
      <c r="AF47" s="247">
        <f t="shared" si="4"/>
        <v>90.51625000000004</v>
      </c>
      <c r="AG47" s="247">
        <f t="shared" si="5"/>
        <v>126.17000000000003</v>
      </c>
      <c r="AH47" s="199"/>
      <c r="AI47" s="199"/>
      <c r="AJ47" s="212"/>
    </row>
    <row r="48" spans="3:36" ht="12">
      <c r="C48" s="149"/>
      <c r="D48" s="149"/>
      <c r="E48" s="151"/>
      <c r="O48" s="235"/>
      <c r="Y48"/>
      <c r="Z48"/>
      <c r="AA48"/>
      <c r="AB48"/>
      <c r="AC48"/>
      <c r="AE48" s="259">
        <f t="shared" si="3"/>
        <v>5.6000000000000005</v>
      </c>
      <c r="AF48" s="247">
        <f t="shared" si="4"/>
        <v>69.90999999999998</v>
      </c>
      <c r="AG48" s="247">
        <f t="shared" si="5"/>
        <v>97.51999999999998</v>
      </c>
      <c r="AH48" s="199"/>
      <c r="AI48" s="199"/>
      <c r="AJ48" s="212"/>
    </row>
    <row r="49" spans="3:39" ht="12">
      <c r="C49" s="149"/>
      <c r="D49" s="149"/>
      <c r="E49" s="151"/>
      <c r="O49" s="235"/>
      <c r="Y49"/>
      <c r="Z49"/>
      <c r="AA49"/>
      <c r="AB49"/>
      <c r="AC49"/>
      <c r="AE49" s="259">
        <f t="shared" si="3"/>
        <v>5.8999999999999995</v>
      </c>
      <c r="AF49" s="247">
        <f t="shared" si="4"/>
        <v>46.243750000000084</v>
      </c>
      <c r="AG49" s="247">
        <f t="shared" si="5"/>
        <v>64.55000000000011</v>
      </c>
      <c r="AH49" s="199"/>
      <c r="AI49" s="199"/>
      <c r="AJ49" s="116"/>
      <c r="AK49"/>
      <c r="AL49" s="236"/>
      <c r="AM49" s="236"/>
    </row>
    <row r="50" spans="3:38" ht="12">
      <c r="C50" s="149"/>
      <c r="D50" s="149"/>
      <c r="E50" s="151"/>
      <c r="O50" s="235"/>
      <c r="Y50"/>
      <c r="Z50"/>
      <c r="AA50"/>
      <c r="AB50"/>
      <c r="AC50"/>
      <c r="AE50" s="259">
        <f t="shared" si="3"/>
        <v>6.2</v>
      </c>
      <c r="AF50" s="247">
        <f t="shared" si="4"/>
        <v>19.51750000000002</v>
      </c>
      <c r="AG50" s="247">
        <f t="shared" si="5"/>
        <v>27.26000000000003</v>
      </c>
      <c r="AH50" s="199"/>
      <c r="AI50" s="199"/>
      <c r="AJ50" s="116"/>
      <c r="AK50"/>
      <c r="AL50" s="236"/>
    </row>
    <row r="51" spans="3:38" ht="12">
      <c r="C51" s="149"/>
      <c r="D51" s="149"/>
      <c r="E51" s="151"/>
      <c r="O51" s="235"/>
      <c r="Y51"/>
      <c r="Z51"/>
      <c r="AA51"/>
      <c r="AB51"/>
      <c r="AC51"/>
      <c r="AE51" s="259">
        <f>B17</f>
        <v>6.4</v>
      </c>
      <c r="AF51" s="199">
        <f>B23</f>
        <v>0</v>
      </c>
      <c r="AG51" s="199">
        <f>C23</f>
        <v>0</v>
      </c>
      <c r="AH51" s="199"/>
      <c r="AI51" s="199"/>
      <c r="AJ51" s="116"/>
      <c r="AK51"/>
      <c r="AL51" s="236"/>
    </row>
    <row r="52" spans="3:38" ht="12">
      <c r="C52" s="149"/>
      <c r="D52" s="149"/>
      <c r="E52" s="151"/>
      <c r="O52" s="235"/>
      <c r="Y52"/>
      <c r="Z52"/>
      <c r="AA52"/>
      <c r="AB52"/>
      <c r="AC52"/>
      <c r="AE52" s="211"/>
      <c r="AF52" s="199"/>
      <c r="AG52" s="199"/>
      <c r="AH52" s="199"/>
      <c r="AI52" s="199"/>
      <c r="AJ52" s="116"/>
      <c r="AK52"/>
      <c r="AL52" s="236"/>
    </row>
    <row r="53" spans="3:38" ht="12">
      <c r="C53" s="149"/>
      <c r="D53" s="149"/>
      <c r="E53" s="151"/>
      <c r="O53" s="235"/>
      <c r="Y53"/>
      <c r="Z53"/>
      <c r="AA53"/>
      <c r="AB53"/>
      <c r="AC53"/>
      <c r="AE53" s="259">
        <f>AE30</f>
        <v>0.2</v>
      </c>
      <c r="AF53" s="199"/>
      <c r="AG53" s="199"/>
      <c r="AH53" s="247">
        <f>AF30</f>
        <v>-27.357499999999998</v>
      </c>
      <c r="AI53" s="199"/>
      <c r="AJ53" s="116"/>
      <c r="AK53"/>
      <c r="AL53" s="236"/>
    </row>
    <row r="54" spans="3:38" ht="12">
      <c r="C54" s="149"/>
      <c r="D54" s="149"/>
      <c r="E54" s="151"/>
      <c r="O54" s="235"/>
      <c r="Y54"/>
      <c r="Z54"/>
      <c r="AA54"/>
      <c r="AB54"/>
      <c r="AC54"/>
      <c r="AE54" s="259">
        <f>AE53</f>
        <v>0.2</v>
      </c>
      <c r="AF54" s="199"/>
      <c r="AG54" s="199"/>
      <c r="AH54" s="199">
        <v>0</v>
      </c>
      <c r="AI54" s="199"/>
      <c r="AJ54" s="116"/>
      <c r="AK54"/>
      <c r="AL54" s="236"/>
    </row>
    <row r="55" spans="3:38" ht="12">
      <c r="C55" s="149"/>
      <c r="D55" s="149"/>
      <c r="E55" s="151"/>
      <c r="O55" s="235"/>
      <c r="Y55"/>
      <c r="Z55"/>
      <c r="AA55"/>
      <c r="AB55"/>
      <c r="AC55"/>
      <c r="AE55" s="211"/>
      <c r="AF55" s="199"/>
      <c r="AG55" s="199"/>
      <c r="AH55" s="199"/>
      <c r="AI55" s="199"/>
      <c r="AJ55" s="212"/>
      <c r="AK55"/>
      <c r="AL55" s="236"/>
    </row>
    <row r="56" spans="3:38" ht="12">
      <c r="C56" s="149"/>
      <c r="D56" s="149"/>
      <c r="E56" s="151"/>
      <c r="O56" s="235"/>
      <c r="Y56"/>
      <c r="Z56"/>
      <c r="AA56"/>
      <c r="AB56"/>
      <c r="AC56"/>
      <c r="AE56" s="259">
        <f>AE57</f>
        <v>6.2</v>
      </c>
      <c r="AF56" s="199"/>
      <c r="AG56" s="199"/>
      <c r="AH56" s="199">
        <v>0</v>
      </c>
      <c r="AI56" s="199"/>
      <c r="AJ56" s="212"/>
      <c r="AK56"/>
      <c r="AL56" s="236"/>
    </row>
    <row r="57" spans="3:38" ht="12">
      <c r="C57" s="149"/>
      <c r="D57" s="149"/>
      <c r="E57" s="151"/>
      <c r="O57" s="235"/>
      <c r="Y57"/>
      <c r="Z57"/>
      <c r="AA57"/>
      <c r="AB57"/>
      <c r="AC57"/>
      <c r="AE57" s="259">
        <f>AE50</f>
        <v>6.2</v>
      </c>
      <c r="AF57" s="199"/>
      <c r="AG57" s="199"/>
      <c r="AH57" s="247">
        <f>AF50</f>
        <v>19.51750000000002</v>
      </c>
      <c r="AI57" s="199"/>
      <c r="AJ57" s="212"/>
      <c r="AK57"/>
      <c r="AL57" s="236"/>
    </row>
    <row r="58" spans="3:38" ht="12">
      <c r="C58" s="149"/>
      <c r="D58" s="149"/>
      <c r="E58" s="151"/>
      <c r="O58" s="235"/>
      <c r="Y58"/>
      <c r="Z58"/>
      <c r="AA58"/>
      <c r="AB58"/>
      <c r="AC58"/>
      <c r="AE58" s="211"/>
      <c r="AF58" s="199"/>
      <c r="AG58" s="199"/>
      <c r="AH58" s="199"/>
      <c r="AI58" s="199"/>
      <c r="AJ58" s="116"/>
      <c r="AK58"/>
      <c r="AL58" s="236"/>
    </row>
    <row r="59" spans="3:39" ht="12">
      <c r="C59" s="149"/>
      <c r="D59" s="149"/>
      <c r="E59" s="151"/>
      <c r="O59" s="235"/>
      <c r="Y59"/>
      <c r="Z59"/>
      <c r="AA59"/>
      <c r="AB59"/>
      <c r="AC59"/>
      <c r="AE59" s="259">
        <f>AE60</f>
        <v>0.2</v>
      </c>
      <c r="AF59" s="199"/>
      <c r="AG59" s="199"/>
      <c r="AH59" s="199">
        <v>0</v>
      </c>
      <c r="AI59" s="115"/>
      <c r="AJ59" s="116"/>
      <c r="AK59"/>
      <c r="AL59" s="236"/>
      <c r="AM59" s="236"/>
    </row>
    <row r="60" spans="3:39" ht="12">
      <c r="C60" s="149"/>
      <c r="D60" s="149"/>
      <c r="E60" s="151"/>
      <c r="O60" s="235"/>
      <c r="Y60"/>
      <c r="Z60"/>
      <c r="AA60"/>
      <c r="AB60"/>
      <c r="AC60"/>
      <c r="AE60" s="259">
        <f>AE53</f>
        <v>0.2</v>
      </c>
      <c r="AF60" s="199"/>
      <c r="AG60" s="199"/>
      <c r="AH60" s="247">
        <f>AG30</f>
        <v>-47.739999999999995</v>
      </c>
      <c r="AI60" s="115"/>
      <c r="AJ60" s="212"/>
      <c r="AK60"/>
      <c r="AL60" s="236"/>
      <c r="AM60" s="236"/>
    </row>
    <row r="61" spans="3:39" ht="12">
      <c r="C61" s="149"/>
      <c r="D61" s="149"/>
      <c r="E61" s="151"/>
      <c r="O61" s="235"/>
      <c r="Y61"/>
      <c r="Z61"/>
      <c r="AA61"/>
      <c r="AB61"/>
      <c r="AC61"/>
      <c r="AE61" s="211"/>
      <c r="AF61" s="199"/>
      <c r="AG61" s="199"/>
      <c r="AH61" s="199"/>
      <c r="AI61" s="115"/>
      <c r="AJ61" s="212"/>
      <c r="AK61"/>
      <c r="AL61" s="236"/>
      <c r="AM61" s="236"/>
    </row>
    <row r="62" spans="3:39" ht="12">
      <c r="C62" s="149"/>
      <c r="D62" s="149"/>
      <c r="E62" s="151"/>
      <c r="O62" s="235"/>
      <c r="Y62"/>
      <c r="Z62"/>
      <c r="AA62"/>
      <c r="AB62"/>
      <c r="AC62"/>
      <c r="AE62" s="259">
        <f>AE57</f>
        <v>6.2</v>
      </c>
      <c r="AF62" s="199"/>
      <c r="AG62" s="199"/>
      <c r="AH62" s="247">
        <f>AG50</f>
        <v>27.26000000000003</v>
      </c>
      <c r="AI62" s="115"/>
      <c r="AJ62" s="212"/>
      <c r="AK62"/>
      <c r="AL62" s="236"/>
      <c r="AM62" s="236"/>
    </row>
    <row r="63" spans="3:39" ht="12">
      <c r="C63" s="149"/>
      <c r="D63" s="149"/>
      <c r="E63" s="151"/>
      <c r="O63" s="235"/>
      <c r="Y63"/>
      <c r="Z63"/>
      <c r="AA63"/>
      <c r="AB63"/>
      <c r="AC63"/>
      <c r="AE63" s="259">
        <f>AE62</f>
        <v>6.2</v>
      </c>
      <c r="AF63" s="199"/>
      <c r="AG63" s="199"/>
      <c r="AH63" s="199">
        <v>0</v>
      </c>
      <c r="AI63" s="115"/>
      <c r="AJ63" s="212"/>
      <c r="AK63"/>
      <c r="AL63" s="236"/>
      <c r="AM63" s="236"/>
    </row>
    <row r="64" spans="3:36" ht="12">
      <c r="C64" s="149"/>
      <c r="D64" s="149"/>
      <c r="E64" s="151"/>
      <c r="O64" s="235"/>
      <c r="Y64"/>
      <c r="Z64"/>
      <c r="AA64"/>
      <c r="AB64"/>
      <c r="AC64"/>
      <c r="AE64" s="211"/>
      <c r="AF64" s="199"/>
      <c r="AG64" s="199"/>
      <c r="AH64" s="199"/>
      <c r="AI64" s="115"/>
      <c r="AJ64" s="212"/>
    </row>
    <row r="65" spans="3:36" ht="12">
      <c r="C65" s="149"/>
      <c r="D65" s="149"/>
      <c r="E65" s="151"/>
      <c r="O65" s="235"/>
      <c r="Y65"/>
      <c r="Z65"/>
      <c r="AA65"/>
      <c r="AB65"/>
      <c r="AC65"/>
      <c r="AE65" s="211">
        <v>0</v>
      </c>
      <c r="AF65" s="199"/>
      <c r="AG65" s="199"/>
      <c r="AH65" s="199"/>
      <c r="AI65" s="199">
        <v>0</v>
      </c>
      <c r="AJ65" s="212"/>
    </row>
    <row r="66" spans="3:36" ht="12">
      <c r="C66" s="149"/>
      <c r="D66" s="149"/>
      <c r="E66" s="151"/>
      <c r="O66" s="235"/>
      <c r="Y66"/>
      <c r="Z66"/>
      <c r="AA66"/>
      <c r="AB66"/>
      <c r="AC66"/>
      <c r="AE66" s="259">
        <f>AE51</f>
        <v>6.4</v>
      </c>
      <c r="AF66" s="199"/>
      <c r="AG66" s="199"/>
      <c r="AH66" s="199"/>
      <c r="AI66" s="199">
        <v>0</v>
      </c>
      <c r="AJ66" s="212"/>
    </row>
    <row r="67" spans="3:36" ht="12">
      <c r="C67" s="149"/>
      <c r="D67" s="149"/>
      <c r="E67" s="151"/>
      <c r="O67" s="235"/>
      <c r="Y67"/>
      <c r="Z67"/>
      <c r="AA67"/>
      <c r="AB67"/>
      <c r="AC67"/>
      <c r="AE67" s="211"/>
      <c r="AF67" s="199"/>
      <c r="AG67" s="199"/>
      <c r="AH67" s="199"/>
      <c r="AI67" s="199"/>
      <c r="AJ67" s="212"/>
    </row>
    <row r="68" spans="3:36" ht="12">
      <c r="C68" s="149"/>
      <c r="D68" s="149"/>
      <c r="E68" s="151"/>
      <c r="O68" s="235"/>
      <c r="AE68" s="211">
        <f>B17</f>
        <v>6.4</v>
      </c>
      <c r="AF68" s="199"/>
      <c r="AG68" s="199"/>
      <c r="AH68" s="199"/>
      <c r="AI68" s="199"/>
      <c r="AJ68" s="212">
        <v>0</v>
      </c>
    </row>
    <row r="69" spans="3:36" ht="12">
      <c r="C69" s="149"/>
      <c r="D69" s="149"/>
      <c r="E69" s="151"/>
      <c r="O69" s="235"/>
      <c r="AE69" s="219">
        <f>AE68</f>
        <v>6.4</v>
      </c>
      <c r="AF69" s="220"/>
      <c r="AG69" s="220"/>
      <c r="AH69" s="220"/>
      <c r="AI69" s="220"/>
      <c r="AJ69" s="221">
        <f>AG51</f>
        <v>0</v>
      </c>
    </row>
    <row r="70" spans="3:15" ht="12">
      <c r="C70" s="149"/>
      <c r="D70" s="149"/>
      <c r="E70" s="151"/>
      <c r="O70" s="235"/>
    </row>
    <row r="71" spans="3:15" ht="12">
      <c r="C71" s="149"/>
      <c r="D71" s="149"/>
      <c r="E71" s="151"/>
      <c r="O71" s="235"/>
    </row>
    <row r="72" spans="3:35" ht="13.5">
      <c r="C72" s="149"/>
      <c r="D72" s="149"/>
      <c r="E72" s="151"/>
      <c r="O72" s="235"/>
      <c r="AH72" s="237" t="s">
        <v>241</v>
      </c>
      <c r="AI72" s="238" t="s">
        <v>242</v>
      </c>
    </row>
    <row r="73" spans="3:35" ht="13.5">
      <c r="C73" s="149"/>
      <c r="D73" s="149"/>
      <c r="E73" s="151"/>
      <c r="O73" s="235"/>
      <c r="Z73" s="43" t="s">
        <v>75</v>
      </c>
      <c r="AA73" s="239" t="s">
        <v>183</v>
      </c>
      <c r="AB73" s="57"/>
      <c r="AC73" s="57"/>
      <c r="AD73" s="57" t="s">
        <v>240</v>
      </c>
      <c r="AH73" s="240">
        <f>MIN(AH75:AH175)</f>
        <v>0.24527317307688357</v>
      </c>
      <c r="AI73" s="241">
        <f>MAX(AI75:AI175)</f>
        <v>-4.318599498234308</v>
      </c>
    </row>
    <row r="74" spans="3:35" ht="13.5">
      <c r="C74" s="149"/>
      <c r="D74" s="149"/>
      <c r="E74" s="151"/>
      <c r="O74" s="235"/>
      <c r="Y74" s="43">
        <v>100</v>
      </c>
      <c r="Z74" s="43" t="s">
        <v>218</v>
      </c>
      <c r="AA74" s="70"/>
      <c r="AB74" s="242" t="s">
        <v>219</v>
      </c>
      <c r="AC74" s="242" t="s">
        <v>220</v>
      </c>
      <c r="AD74" s="242" t="s">
        <v>221</v>
      </c>
      <c r="AE74" s="243" t="s">
        <v>222</v>
      </c>
      <c r="AF74" s="208" t="s">
        <v>180</v>
      </c>
      <c r="AG74" s="206" t="s">
        <v>179</v>
      </c>
      <c r="AH74" s="43" t="s">
        <v>243</v>
      </c>
      <c r="AI74" s="43" t="s">
        <v>243</v>
      </c>
    </row>
    <row r="75" spans="3:35" ht="12">
      <c r="C75" s="149"/>
      <c r="D75" s="149"/>
      <c r="E75" s="151"/>
      <c r="O75" s="235"/>
      <c r="Y75" s="244">
        <v>1</v>
      </c>
      <c r="Z75" s="245">
        <f aca="true" t="shared" si="8" ref="Z75:Z106">C$22*(1-AA75/B$17)+C$23*(AA75/B$17)+C$21*AA75*(B$17-AA75)/2</f>
        <v>-47.739999999999995</v>
      </c>
      <c r="AA75" s="71">
        <f>MIN(B$9,B$12)/2</f>
        <v>0.2</v>
      </c>
      <c r="AB75" s="246">
        <f aca="true" t="shared" si="9" ref="AB75:AB106">fAs3(AA75,B$15,B$26:D$26,B$27:D$27,B$28:D$28,L$18,L$15,H$14)</f>
        <v>0</v>
      </c>
      <c r="AC75" s="247">
        <f aca="true" t="shared" si="10" ref="AC75:AC106">-fAsg(AA75,B$15,L$14,E$26:G$26,E$28:G$28,L$18,L$15,H$15)-fAsd(AA75,B$15,L$14,B$7,H$26:J$26,H$28:J$28,L$18,L$15,H$15)</f>
        <v>-6.785840131753953</v>
      </c>
      <c r="AD75" s="247">
        <f aca="true" t="shared" si="11" ref="AD75:AD106">IF(Z75&gt;=0,facier(Z75,B$8,B$9,B$10,B$11,L$14,L$14,H$10,H$11,L$15,L$16,L$17),0)*L$14/AF75</f>
        <v>0</v>
      </c>
      <c r="AE75" s="248">
        <f aca="true" t="shared" si="12" ref="AE75:AE106">IF(Z75&lt;0,-facier(Z75,B$8,B$9,B$10,B$11,C$21,L$14,H$10,H$11,L$15,L$16,L$17),0)*L$14/AG75</f>
        <v>-2.4672406335196446</v>
      </c>
      <c r="AF75" s="200">
        <f aca="true" t="shared" si="13" ref="AF75:AF106">futil(AA75,B$7,B$9,L$11,AB75,ABS(AC75),L$12,L$13,tabac,1)</f>
        <v>0.479</v>
      </c>
      <c r="AG75" s="200">
        <f aca="true" t="shared" si="14" ref="AG75:AG106">futil(AA75,B$7,B$9,L$11,AB75,ABS(AC75),L$12,L$13,tabac,2)</f>
        <v>0.462</v>
      </c>
      <c r="AH75" s="152">
        <f>IF(AB75=0,"",AB75-AD75)</f>
      </c>
      <c r="AI75" s="152">
        <f>IF(Z75&lt;0,AC75-AE75,"")</f>
        <v>-4.318599498234308</v>
      </c>
    </row>
    <row r="76" spans="3:35" ht="12">
      <c r="C76" s="149"/>
      <c r="D76" s="149"/>
      <c r="E76" s="151"/>
      <c r="O76" s="235"/>
      <c r="Y76" s="244">
        <v>2</v>
      </c>
      <c r="Z76" s="249">
        <f t="shared" si="8"/>
        <v>-38.43639999999999</v>
      </c>
      <c r="AA76" s="71">
        <f aca="true" t="shared" si="15" ref="AA76:AA107">AA75+B$7/Y$74</f>
        <v>0.26</v>
      </c>
      <c r="AB76" s="246">
        <f t="shared" si="9"/>
        <v>0.5444392635041725</v>
      </c>
      <c r="AC76" s="247">
        <f t="shared" si="10"/>
        <v>-6.561911648556155</v>
      </c>
      <c r="AD76" s="247">
        <f t="shared" si="11"/>
        <v>0</v>
      </c>
      <c r="AE76" s="248">
        <f t="shared" si="12"/>
        <v>-1.9713227991908566</v>
      </c>
      <c r="AF76" s="200">
        <f t="shared" si="13"/>
        <v>0.471</v>
      </c>
      <c r="AG76" s="200">
        <f t="shared" si="14"/>
        <v>0.462</v>
      </c>
      <c r="AH76" s="152">
        <f aca="true" t="shared" si="16" ref="AH76:AH139">IF(AB76=0,"",AB76-AD76)</f>
        <v>0.5444392635041725</v>
      </c>
      <c r="AI76" s="152">
        <f aca="true" t="shared" si="17" ref="AI76:AI139">IF(Z76&lt;0,AC76-AE76,"")</f>
        <v>-4.590588849365298</v>
      </c>
    </row>
    <row r="77" spans="3:35" ht="12">
      <c r="C77" s="149"/>
      <c r="D77" s="149"/>
      <c r="E77" s="151"/>
      <c r="O77" s="235"/>
      <c r="Y77" s="244">
        <v>3</v>
      </c>
      <c r="Z77" s="249">
        <f t="shared" si="8"/>
        <v>-29.3056</v>
      </c>
      <c r="AA77" s="71">
        <f t="shared" si="15"/>
        <v>0.32</v>
      </c>
      <c r="AB77" s="246">
        <f t="shared" si="9"/>
        <v>1.1125497993346134</v>
      </c>
      <c r="AC77" s="247">
        <f t="shared" si="10"/>
        <v>-6.263653617245173</v>
      </c>
      <c r="AD77" s="247">
        <f t="shared" si="11"/>
        <v>0</v>
      </c>
      <c r="AE77" s="248">
        <f t="shared" si="12"/>
        <v>-1.492061645312198</v>
      </c>
      <c r="AF77" s="200">
        <f t="shared" si="13"/>
        <v>0.471</v>
      </c>
      <c r="AG77" s="200">
        <f t="shared" si="14"/>
        <v>0.462</v>
      </c>
      <c r="AH77" s="152">
        <f t="shared" si="16"/>
        <v>1.1125497993346134</v>
      </c>
      <c r="AI77" s="152">
        <f t="shared" si="17"/>
        <v>-4.771591971932975</v>
      </c>
    </row>
    <row r="78" spans="3:35" ht="12">
      <c r="C78" s="149"/>
      <c r="D78" s="149"/>
      <c r="E78" s="151"/>
      <c r="O78" s="235"/>
      <c r="Y78" s="244">
        <v>4</v>
      </c>
      <c r="Z78" s="249">
        <f t="shared" si="8"/>
        <v>-20.347599999999993</v>
      </c>
      <c r="AA78" s="71">
        <f t="shared" si="15"/>
        <v>0.38</v>
      </c>
      <c r="AB78" s="246">
        <f t="shared" si="9"/>
        <v>1.6806603351650542</v>
      </c>
      <c r="AC78" s="247">
        <f t="shared" si="10"/>
        <v>-5.965395585934191</v>
      </c>
      <c r="AD78" s="247">
        <f t="shared" si="11"/>
        <v>0</v>
      </c>
      <c r="AE78" s="248">
        <f t="shared" si="12"/>
        <v>-1.0287219810343602</v>
      </c>
      <c r="AF78" s="200">
        <f t="shared" si="13"/>
        <v>0.471</v>
      </c>
      <c r="AG78" s="200">
        <f t="shared" si="14"/>
        <v>0.462</v>
      </c>
      <c r="AH78" s="152">
        <f t="shared" si="16"/>
        <v>1.6806603351650542</v>
      </c>
      <c r="AI78" s="152">
        <f t="shared" si="17"/>
        <v>-4.9366736048998305</v>
      </c>
    </row>
    <row r="79" spans="3:35" ht="12">
      <c r="C79" s="149"/>
      <c r="D79" s="149"/>
      <c r="E79" s="151"/>
      <c r="O79" s="235"/>
      <c r="Y79" s="244">
        <v>5</v>
      </c>
      <c r="Z79" s="249">
        <f t="shared" si="8"/>
        <v>-11.562399999999997</v>
      </c>
      <c r="AA79" s="71">
        <f t="shared" si="15"/>
        <v>0.44</v>
      </c>
      <c r="AB79" s="246">
        <f t="shared" si="9"/>
        <v>2.2487708709954948</v>
      </c>
      <c r="AC79" s="247">
        <f t="shared" si="10"/>
        <v>-5.66713755462321</v>
      </c>
      <c r="AD79" s="247">
        <f t="shared" si="11"/>
        <v>0</v>
      </c>
      <c r="AE79" s="248">
        <f t="shared" si="12"/>
        <v>-0.5806336303707945</v>
      </c>
      <c r="AF79" s="200">
        <f t="shared" si="13"/>
        <v>0.471</v>
      </c>
      <c r="AG79" s="200">
        <f t="shared" si="14"/>
        <v>0.462</v>
      </c>
      <c r="AH79" s="152">
        <f t="shared" si="16"/>
        <v>2.2487708709954948</v>
      </c>
      <c r="AI79" s="152">
        <f t="shared" si="17"/>
        <v>-5.0865039242524155</v>
      </c>
    </row>
    <row r="80" spans="3:35" ht="12">
      <c r="C80" s="149"/>
      <c r="D80" s="149"/>
      <c r="E80" s="151"/>
      <c r="O80" s="235"/>
      <c r="Y80" s="244">
        <v>6</v>
      </c>
      <c r="Z80" s="249">
        <f t="shared" si="8"/>
        <v>-2.9499999999999886</v>
      </c>
      <c r="AA80" s="71">
        <f t="shared" si="15"/>
        <v>0.5</v>
      </c>
      <c r="AB80" s="246">
        <f t="shared" si="9"/>
        <v>2.816881406825936</v>
      </c>
      <c r="AC80" s="247">
        <f t="shared" si="10"/>
        <v>-5.368879523312229</v>
      </c>
      <c r="AD80" s="247">
        <f t="shared" si="11"/>
        <v>0</v>
      </c>
      <c r="AE80" s="248">
        <f t="shared" si="12"/>
        <v>-0.14718380162038455</v>
      </c>
      <c r="AF80" s="200">
        <f t="shared" si="13"/>
        <v>0.471</v>
      </c>
      <c r="AG80" s="200">
        <f t="shared" si="14"/>
        <v>0.462</v>
      </c>
      <c r="AH80" s="152">
        <f t="shared" si="16"/>
        <v>2.816881406825936</v>
      </c>
      <c r="AI80" s="152">
        <f t="shared" si="17"/>
        <v>-5.2216957216918445</v>
      </c>
    </row>
    <row r="81" spans="3:35" ht="12">
      <c r="C81" s="149"/>
      <c r="D81" s="149"/>
      <c r="E81" s="151"/>
      <c r="O81" s="235"/>
      <c r="Y81" s="244">
        <v>7</v>
      </c>
      <c r="Z81" s="249">
        <f t="shared" si="8"/>
        <v>5.48960000000001</v>
      </c>
      <c r="AA81" s="71">
        <f t="shared" si="15"/>
        <v>0.56</v>
      </c>
      <c r="AB81" s="246">
        <f t="shared" si="9"/>
        <v>3.3849919426563773</v>
      </c>
      <c r="AC81" s="247">
        <f t="shared" si="10"/>
        <v>-5.070621492001247</v>
      </c>
      <c r="AD81" s="247">
        <f t="shared" si="11"/>
        <v>0.26843398425786347</v>
      </c>
      <c r="AE81" s="248">
        <f t="shared" si="12"/>
        <v>0</v>
      </c>
      <c r="AF81" s="200">
        <f t="shared" si="13"/>
        <v>0.471</v>
      </c>
      <c r="AG81" s="200">
        <f t="shared" si="14"/>
        <v>0.462</v>
      </c>
      <c r="AH81" s="152">
        <f t="shared" si="16"/>
        <v>3.1165579583985137</v>
      </c>
      <c r="AI81" s="152">
        <f t="shared" si="17"/>
      </c>
    </row>
    <row r="82" spans="3:35" ht="12">
      <c r="C82" s="149"/>
      <c r="D82" s="149"/>
      <c r="E82" s="151"/>
      <c r="O82" s="235"/>
      <c r="Y82" s="244">
        <v>8</v>
      </c>
      <c r="Z82" s="249">
        <f t="shared" si="8"/>
        <v>13.756400000000014</v>
      </c>
      <c r="AA82" s="71">
        <f t="shared" si="15"/>
        <v>0.6200000000000001</v>
      </c>
      <c r="AB82" s="246">
        <f t="shared" si="9"/>
        <v>3.9531024784868185</v>
      </c>
      <c r="AC82" s="247">
        <f t="shared" si="10"/>
        <v>-4.772363460690265</v>
      </c>
      <c r="AD82" s="247">
        <f t="shared" si="11"/>
        <v>0.6740536120195472</v>
      </c>
      <c r="AE82" s="248">
        <f t="shared" si="12"/>
        <v>0</v>
      </c>
      <c r="AF82" s="200">
        <f t="shared" si="13"/>
        <v>0.471</v>
      </c>
      <c r="AG82" s="200">
        <f t="shared" si="14"/>
        <v>0.462</v>
      </c>
      <c r="AH82" s="152">
        <f t="shared" si="16"/>
        <v>3.2790488664672712</v>
      </c>
      <c r="AI82" s="152">
        <f t="shared" si="17"/>
      </c>
    </row>
    <row r="83" spans="3:35" ht="12">
      <c r="C83" s="149"/>
      <c r="D83" s="149"/>
      <c r="E83" s="151"/>
      <c r="O83" s="235"/>
      <c r="Y83" s="244">
        <v>9</v>
      </c>
      <c r="Z83" s="249">
        <f t="shared" si="8"/>
        <v>21.850400000000036</v>
      </c>
      <c r="AA83" s="71">
        <f t="shared" si="15"/>
        <v>0.6800000000000002</v>
      </c>
      <c r="AB83" s="246">
        <f t="shared" si="9"/>
        <v>4.52121301431726</v>
      </c>
      <c r="AC83" s="247">
        <f t="shared" si="10"/>
        <v>-4.474105429379284</v>
      </c>
      <c r="AD83" s="247">
        <f t="shared" si="11"/>
        <v>1.072824299267364</v>
      </c>
      <c r="AE83" s="248">
        <f t="shared" si="12"/>
        <v>0</v>
      </c>
      <c r="AF83" s="200">
        <f t="shared" si="13"/>
        <v>0.471</v>
      </c>
      <c r="AG83" s="200">
        <f t="shared" si="14"/>
        <v>0.462</v>
      </c>
      <c r="AH83" s="152">
        <f t="shared" si="16"/>
        <v>3.4483887150498957</v>
      </c>
      <c r="AI83" s="152">
        <f t="shared" si="17"/>
      </c>
    </row>
    <row r="84" spans="3:35" ht="12">
      <c r="C84" s="149"/>
      <c r="D84" s="149"/>
      <c r="E84" s="151"/>
      <c r="O84" s="235"/>
      <c r="Y84" s="244">
        <v>10</v>
      </c>
      <c r="Z84" s="249">
        <f t="shared" si="8"/>
        <v>29.771600000000035</v>
      </c>
      <c r="AA84" s="71">
        <f t="shared" si="15"/>
        <v>0.7400000000000002</v>
      </c>
      <c r="AB84" s="246">
        <f t="shared" si="9"/>
        <v>5.089323550147702</v>
      </c>
      <c r="AC84" s="247">
        <f t="shared" si="10"/>
        <v>-4.175847398068301</v>
      </c>
      <c r="AD84" s="247">
        <f t="shared" si="11"/>
        <v>1.4646619419591402</v>
      </c>
      <c r="AE84" s="248">
        <f t="shared" si="12"/>
        <v>0</v>
      </c>
      <c r="AF84" s="200">
        <f t="shared" si="13"/>
        <v>0.471</v>
      </c>
      <c r="AG84" s="200">
        <f t="shared" si="14"/>
        <v>0.462</v>
      </c>
      <c r="AH84" s="152">
        <f t="shared" si="16"/>
        <v>3.6246616081885614</v>
      </c>
      <c r="AI84" s="152">
        <f t="shared" si="17"/>
      </c>
    </row>
    <row r="85" spans="3:35" ht="12">
      <c r="C85" s="149"/>
      <c r="D85" s="149"/>
      <c r="E85" s="151"/>
      <c r="O85" s="235"/>
      <c r="Y85" s="244">
        <v>11</v>
      </c>
      <c r="Z85" s="249">
        <f t="shared" si="8"/>
        <v>37.520000000000024</v>
      </c>
      <c r="AA85" s="71">
        <f t="shared" si="15"/>
        <v>0.8000000000000003</v>
      </c>
      <c r="AB85" s="246">
        <f t="shared" si="9"/>
        <v>5.657434085978143</v>
      </c>
      <c r="AC85" s="247">
        <f t="shared" si="10"/>
        <v>-3.87758936675732</v>
      </c>
      <c r="AD85" s="247">
        <f t="shared" si="11"/>
        <v>1.8494825516973776</v>
      </c>
      <c r="AE85" s="248">
        <f t="shared" si="12"/>
        <v>0</v>
      </c>
      <c r="AF85" s="200">
        <f t="shared" si="13"/>
        <v>0.471</v>
      </c>
      <c r="AG85" s="200">
        <f t="shared" si="14"/>
        <v>0.462</v>
      </c>
      <c r="AH85" s="152">
        <f t="shared" si="16"/>
        <v>3.8079515342807655</v>
      </c>
      <c r="AI85" s="152">
        <f t="shared" si="17"/>
      </c>
    </row>
    <row r="86" spans="3:35" ht="12">
      <c r="C86" s="149"/>
      <c r="D86" s="149"/>
      <c r="E86" s="151"/>
      <c r="O86" s="235"/>
      <c r="Y86" s="244">
        <v>12</v>
      </c>
      <c r="Z86" s="249">
        <f t="shared" si="8"/>
        <v>45.09560000000005</v>
      </c>
      <c r="AA86" s="71">
        <f t="shared" si="15"/>
        <v>0.8600000000000003</v>
      </c>
      <c r="AB86" s="246">
        <f t="shared" si="9"/>
        <v>6.031857894892402</v>
      </c>
      <c r="AC86" s="247">
        <f t="shared" si="10"/>
        <v>-3.579331335446338</v>
      </c>
      <c r="AD86" s="247">
        <f t="shared" si="11"/>
        <v>2.227202318680434</v>
      </c>
      <c r="AE86" s="248">
        <f t="shared" si="12"/>
        <v>0</v>
      </c>
      <c r="AF86" s="200">
        <f t="shared" si="13"/>
        <v>0.471</v>
      </c>
      <c r="AG86" s="200">
        <f t="shared" si="14"/>
        <v>0.462</v>
      </c>
      <c r="AH86" s="152">
        <f t="shared" si="16"/>
        <v>3.8046555762119683</v>
      </c>
      <c r="AI86" s="152">
        <f t="shared" si="17"/>
      </c>
    </row>
    <row r="87" spans="3:35" ht="12">
      <c r="C87" s="149"/>
      <c r="D87" s="149"/>
      <c r="E87" s="151"/>
      <c r="O87" s="235"/>
      <c r="Y87" s="244">
        <v>13</v>
      </c>
      <c r="Z87" s="249">
        <f t="shared" si="8"/>
        <v>52.49840000000006</v>
      </c>
      <c r="AA87" s="71">
        <f t="shared" si="15"/>
        <v>0.9200000000000004</v>
      </c>
      <c r="AB87" s="246">
        <f t="shared" si="9"/>
        <v>6.031857894892402</v>
      </c>
      <c r="AC87" s="247">
        <f t="shared" si="10"/>
        <v>-3.3929200658769765</v>
      </c>
      <c r="AD87" s="247">
        <f t="shared" si="11"/>
        <v>2.59773767671237</v>
      </c>
      <c r="AE87" s="248">
        <f t="shared" si="12"/>
        <v>0</v>
      </c>
      <c r="AF87" s="200">
        <f t="shared" si="13"/>
        <v>0.471</v>
      </c>
      <c r="AG87" s="200">
        <f t="shared" si="14"/>
        <v>0.468</v>
      </c>
      <c r="AH87" s="152">
        <f t="shared" si="16"/>
        <v>3.4341202181800323</v>
      </c>
      <c r="AI87" s="152">
        <f t="shared" si="17"/>
      </c>
    </row>
    <row r="88" spans="3:35" ht="12">
      <c r="C88" s="149"/>
      <c r="D88" s="149"/>
      <c r="E88" s="151"/>
      <c r="O88" s="235"/>
      <c r="Y88" s="244">
        <v>14</v>
      </c>
      <c r="Z88" s="249">
        <f t="shared" si="8"/>
        <v>59.72840000000005</v>
      </c>
      <c r="AA88" s="71">
        <f t="shared" si="15"/>
        <v>0.9800000000000004</v>
      </c>
      <c r="AB88" s="246">
        <f t="shared" si="9"/>
        <v>6.031857894892402</v>
      </c>
      <c r="AC88" s="247">
        <f t="shared" si="10"/>
        <v>-3.3929200658769765</v>
      </c>
      <c r="AD88" s="247">
        <f t="shared" si="11"/>
        <v>2.961005370222362</v>
      </c>
      <c r="AE88" s="248">
        <f t="shared" si="12"/>
        <v>0</v>
      </c>
      <c r="AF88" s="200">
        <f t="shared" si="13"/>
        <v>0.471</v>
      </c>
      <c r="AG88" s="200">
        <f t="shared" si="14"/>
        <v>0.468</v>
      </c>
      <c r="AH88" s="152">
        <f t="shared" si="16"/>
        <v>3.07085252467004</v>
      </c>
      <c r="AI88" s="152">
        <f t="shared" si="17"/>
      </c>
    </row>
    <row r="89" spans="3:35" ht="12">
      <c r="C89" s="149"/>
      <c r="D89" s="149"/>
      <c r="E89" s="151"/>
      <c r="O89" s="235"/>
      <c r="Y89" s="244">
        <v>15</v>
      </c>
      <c r="Z89" s="249">
        <f t="shared" si="8"/>
        <v>66.78560000000004</v>
      </c>
      <c r="AA89" s="71">
        <f t="shared" si="15"/>
        <v>1.0400000000000005</v>
      </c>
      <c r="AB89" s="246">
        <f t="shared" si="9"/>
        <v>6.031857894892402</v>
      </c>
      <c r="AC89" s="247">
        <f t="shared" si="10"/>
        <v>-3.3929200658769765</v>
      </c>
      <c r="AD89" s="247">
        <f t="shared" si="11"/>
        <v>3.3169225232355593</v>
      </c>
      <c r="AE89" s="248">
        <f t="shared" si="12"/>
        <v>0</v>
      </c>
      <c r="AF89" s="200">
        <f t="shared" si="13"/>
        <v>0.471</v>
      </c>
      <c r="AG89" s="200">
        <f t="shared" si="14"/>
        <v>0.468</v>
      </c>
      <c r="AH89" s="152">
        <f t="shared" si="16"/>
        <v>2.714935371656843</v>
      </c>
      <c r="AI89" s="152">
        <f t="shared" si="17"/>
      </c>
    </row>
    <row r="90" spans="3:35" ht="12">
      <c r="C90" s="149"/>
      <c r="D90" s="149"/>
      <c r="E90" s="151"/>
      <c r="O90" s="235"/>
      <c r="Y90" s="244">
        <v>16</v>
      </c>
      <c r="Z90" s="249">
        <f t="shared" si="8"/>
        <v>73.67000000000009</v>
      </c>
      <c r="AA90" s="71">
        <f t="shared" si="15"/>
        <v>1.1000000000000005</v>
      </c>
      <c r="AB90" s="246">
        <f t="shared" si="9"/>
        <v>6.031857894892402</v>
      </c>
      <c r="AC90" s="247">
        <f t="shared" si="10"/>
        <v>-3.3929200658769765</v>
      </c>
      <c r="AD90" s="247">
        <f t="shared" si="11"/>
        <v>3.665406710228071</v>
      </c>
      <c r="AE90" s="248">
        <f t="shared" si="12"/>
        <v>0</v>
      </c>
      <c r="AF90" s="200">
        <f t="shared" si="13"/>
        <v>0.471</v>
      </c>
      <c r="AG90" s="200">
        <f t="shared" si="14"/>
        <v>0.468</v>
      </c>
      <c r="AH90" s="152">
        <f t="shared" si="16"/>
        <v>2.3664511846643315</v>
      </c>
      <c r="AI90" s="152">
        <f t="shared" si="17"/>
      </c>
    </row>
    <row r="91" spans="1:35" ht="15">
      <c r="A91" s="258" t="s">
        <v>300</v>
      </c>
      <c r="J91" s="153" t="s">
        <v>187</v>
      </c>
      <c r="K91" s="154"/>
      <c r="Q91" s="29" t="s">
        <v>293</v>
      </c>
      <c r="Y91" s="244">
        <v>17</v>
      </c>
      <c r="Z91" s="249">
        <f t="shared" si="8"/>
        <v>80.38160000000009</v>
      </c>
      <c r="AA91" s="71">
        <f t="shared" si="15"/>
        <v>1.1600000000000006</v>
      </c>
      <c r="AB91" s="246">
        <f t="shared" si="9"/>
        <v>6.031857894892402</v>
      </c>
      <c r="AC91" s="247">
        <f t="shared" si="10"/>
        <v>-3.1689915826791752</v>
      </c>
      <c r="AD91" s="247">
        <f t="shared" si="11"/>
        <v>4.006376028789222</v>
      </c>
      <c r="AE91" s="248">
        <f t="shared" si="12"/>
        <v>0</v>
      </c>
      <c r="AF91" s="200">
        <f t="shared" si="13"/>
        <v>0.471</v>
      </c>
      <c r="AG91" s="200">
        <f t="shared" si="14"/>
        <v>0.468</v>
      </c>
      <c r="AH91" s="152">
        <f t="shared" si="16"/>
        <v>2.0254818661031804</v>
      </c>
      <c r="AI91" s="152">
        <f t="shared" si="17"/>
      </c>
    </row>
    <row r="92" spans="1:35" ht="13.5">
      <c r="A92" s="155"/>
      <c r="B92" s="256" t="s">
        <v>302</v>
      </c>
      <c r="C92" s="257" t="s">
        <v>305</v>
      </c>
      <c r="D92" s="153" t="s">
        <v>189</v>
      </c>
      <c r="E92" s="154"/>
      <c r="F92" s="153" t="s">
        <v>190</v>
      </c>
      <c r="G92" s="157"/>
      <c r="H92" s="153" t="s">
        <v>191</v>
      </c>
      <c r="I92" s="154"/>
      <c r="J92" s="153" t="s">
        <v>189</v>
      </c>
      <c r="K92" s="157"/>
      <c r="L92" s="156" t="s">
        <v>255</v>
      </c>
      <c r="M92" s="154"/>
      <c r="R92" s="43" t="s">
        <v>256</v>
      </c>
      <c r="S92" s="43" t="s">
        <v>257</v>
      </c>
      <c r="Y92" s="244">
        <v>18</v>
      </c>
      <c r="Z92" s="249">
        <f t="shared" si="8"/>
        <v>86.92040000000006</v>
      </c>
      <c r="AA92" s="71">
        <f t="shared" si="15"/>
        <v>1.2200000000000006</v>
      </c>
      <c r="AB92" s="246">
        <f t="shared" si="9"/>
        <v>6.031857894892402</v>
      </c>
      <c r="AC92" s="247">
        <f t="shared" si="10"/>
        <v>-2.8707335513681937</v>
      </c>
      <c r="AD92" s="247">
        <f t="shared" si="11"/>
        <v>4.339749174004598</v>
      </c>
      <c r="AE92" s="248">
        <f t="shared" si="12"/>
        <v>0</v>
      </c>
      <c r="AF92" s="200">
        <f t="shared" si="13"/>
        <v>0.471</v>
      </c>
      <c r="AG92" s="200">
        <f t="shared" si="14"/>
        <v>0.468</v>
      </c>
      <c r="AH92" s="152">
        <f t="shared" si="16"/>
        <v>1.6921087208878047</v>
      </c>
      <c r="AI92" s="152">
        <f t="shared" si="17"/>
      </c>
    </row>
    <row r="93" spans="2:35" ht="13.5">
      <c r="B93" s="160" t="s">
        <v>196</v>
      </c>
      <c r="C93" s="160" t="s">
        <v>198</v>
      </c>
      <c r="D93" s="160" t="s">
        <v>199</v>
      </c>
      <c r="E93" s="160" t="s">
        <v>200</v>
      </c>
      <c r="F93" s="160" t="s">
        <v>199</v>
      </c>
      <c r="G93" s="160" t="s">
        <v>200</v>
      </c>
      <c r="H93" s="160" t="s">
        <v>180</v>
      </c>
      <c r="I93" s="160" t="s">
        <v>179</v>
      </c>
      <c r="J93" s="160" t="s">
        <v>199</v>
      </c>
      <c r="K93" s="160" t="s">
        <v>200</v>
      </c>
      <c r="L93" s="206" t="s">
        <v>303</v>
      </c>
      <c r="M93" s="160" t="s">
        <v>304</v>
      </c>
      <c r="N93" s="160" t="s">
        <v>309</v>
      </c>
      <c r="Q93" s="149" t="s">
        <v>254</v>
      </c>
      <c r="R93" s="173">
        <f>MAX(J95:J115)</f>
        <v>10.99458232659883</v>
      </c>
      <c r="S93" s="173">
        <f>SUM(B31:D31)</f>
        <v>11.37256540599505</v>
      </c>
      <c r="T93" s="190" t="s">
        <v>13</v>
      </c>
      <c r="Y93" s="244">
        <v>19</v>
      </c>
      <c r="Z93" s="249">
        <f t="shared" si="8"/>
        <v>93.28640000000007</v>
      </c>
      <c r="AA93" s="71">
        <f t="shared" si="15"/>
        <v>1.2800000000000007</v>
      </c>
      <c r="AB93" s="246">
        <f t="shared" si="9"/>
        <v>6.031857894892402</v>
      </c>
      <c r="AC93" s="247">
        <f t="shared" si="10"/>
        <v>-2.5724755200572123</v>
      </c>
      <c r="AD93" s="247">
        <f t="shared" si="11"/>
        <v>4.665445514463397</v>
      </c>
      <c r="AE93" s="248">
        <f t="shared" si="12"/>
        <v>0</v>
      </c>
      <c r="AF93" s="200">
        <f t="shared" si="13"/>
        <v>0.471</v>
      </c>
      <c r="AG93" s="200">
        <f t="shared" si="14"/>
        <v>0.468</v>
      </c>
      <c r="AH93" s="152">
        <f t="shared" si="16"/>
        <v>1.3664123804290051</v>
      </c>
      <c r="AI93" s="152">
        <f t="shared" si="17"/>
      </c>
    </row>
    <row r="94" spans="2:35" ht="13.5">
      <c r="B94" s="167" t="s">
        <v>11</v>
      </c>
      <c r="C94" s="167" t="s">
        <v>12</v>
      </c>
      <c r="D94" s="167" t="s">
        <v>13</v>
      </c>
      <c r="E94" s="167" t="s">
        <v>13</v>
      </c>
      <c r="F94" s="167" t="s">
        <v>13</v>
      </c>
      <c r="G94" s="167" t="s">
        <v>13</v>
      </c>
      <c r="H94" s="167" t="s">
        <v>11</v>
      </c>
      <c r="I94" s="167" t="s">
        <v>11</v>
      </c>
      <c r="J94" s="167" t="s">
        <v>13</v>
      </c>
      <c r="K94" s="167" t="s">
        <v>13</v>
      </c>
      <c r="L94" s="219"/>
      <c r="M94" s="167"/>
      <c r="N94" s="167" t="s">
        <v>39</v>
      </c>
      <c r="Q94" s="149" t="s">
        <v>253</v>
      </c>
      <c r="R94" s="48">
        <f>K95</f>
        <v>2.4672406335196446</v>
      </c>
      <c r="S94" s="48">
        <f>SUM(E31:G31)</f>
        <v>6.785840131753954</v>
      </c>
      <c r="T94" s="190" t="s">
        <v>13</v>
      </c>
      <c r="Y94" s="244">
        <v>20</v>
      </c>
      <c r="Z94" s="249">
        <f t="shared" si="8"/>
        <v>99.47960000000009</v>
      </c>
      <c r="AA94" s="71">
        <f t="shared" si="15"/>
        <v>1.3400000000000007</v>
      </c>
      <c r="AB94" s="246">
        <f t="shared" si="9"/>
        <v>6.031857894892402</v>
      </c>
      <c r="AC94" s="247">
        <f t="shared" si="10"/>
        <v>-2.2742174887462303</v>
      </c>
      <c r="AD94" s="247">
        <f t="shared" si="11"/>
        <v>4.983385169783713</v>
      </c>
      <c r="AE94" s="248">
        <f t="shared" si="12"/>
        <v>0</v>
      </c>
      <c r="AF94" s="200">
        <f t="shared" si="13"/>
        <v>0.471</v>
      </c>
      <c r="AG94" s="200">
        <f t="shared" si="14"/>
        <v>0.468</v>
      </c>
      <c r="AH94" s="152">
        <f t="shared" si="16"/>
        <v>1.0484727251086898</v>
      </c>
      <c r="AI94" s="152">
        <f t="shared" si="17"/>
      </c>
    </row>
    <row r="95" spans="1:35" ht="13.5">
      <c r="A95" s="171">
        <v>1</v>
      </c>
      <c r="B95" s="172">
        <f aca="true" t="shared" si="18" ref="B95:B115">(A95-1)/B$14*B$7+B$15</f>
        <v>0.2</v>
      </c>
      <c r="C95" s="173">
        <f aca="true" t="shared" si="19" ref="C95:C115">C$22*(1-B95/B$17)+C$23*(B95/B$17)+C$21*B95*(B$17-B95)/2</f>
        <v>-47.739999999999995</v>
      </c>
      <c r="D95" s="173">
        <f aca="true" t="shared" si="20" ref="D95:D115">IF(C95&gt;0,facier(C95,B$8,B$9,B$10,B$11,L$14,L$14,H$10,H$11,L$15,L$16,L$17),0)</f>
        <v>0</v>
      </c>
      <c r="E95" s="173">
        <f aca="true" t="shared" si="21" ref="E95:E115">IF(C95&lt;0,facier(C95,B$8,B$9,B$10,B$11,L$14,L$14,H$10,H$11,L$15,L$16,L$17),0)</f>
        <v>2.5330337170801682</v>
      </c>
      <c r="F95" s="174">
        <f aca="true" t="shared" si="22" ref="F95:F115">fAs3(B95,B$15,B$26:D$26,B$27:D$27,B$28:D$28,L$18,L$15,H$14)</f>
        <v>0</v>
      </c>
      <c r="G95" s="174">
        <f aca="true" t="shared" si="23" ref="G95:G115">fAsg(B95,B$15,L$14,E$26:G$26,E$28:G$28,L$18,L$15,H$15)+fAsd(B95,B$15,L$14,B$7,H$26:J$26,H$28:J$28,L$18,L$15,H$15)</f>
        <v>6.785840131753953</v>
      </c>
      <c r="H95" s="172">
        <f aca="true" t="shared" si="24" ref="H95:H115">futil(B95,B$7,B$9,L$11,F95,G95,L$12,L$13,tabac,1)</f>
        <v>0.479</v>
      </c>
      <c r="I95" s="172">
        <f aca="true" t="shared" si="25" ref="I95:I115">futil(B95,B$7,B$9,L$11,F95,G95,L$12,L$13,tabac,2)</f>
        <v>0.462</v>
      </c>
      <c r="J95" s="173">
        <f aca="true" t="shared" si="26" ref="J95:J115">D95*L$14/H95</f>
        <v>0</v>
      </c>
      <c r="K95" s="173">
        <f aca="true" t="shared" si="27" ref="K95:K115">E95*L$14/I95</f>
        <v>2.4672406335196446</v>
      </c>
      <c r="L95" s="251">
        <f>IF(F95=0,"",J95/F95)</f>
      </c>
      <c r="M95" s="251">
        <f>IF(G95=0,"",K95/G95)</f>
        <v>0.3635866135387323</v>
      </c>
      <c r="N95" s="260">
        <f aca="true" t="shared" si="28" ref="N95:N115">C$21*(B$17/2-B95)+(B$23-B$22)/B$17</f>
        <v>151.8125</v>
      </c>
      <c r="Q95" s="149" t="s">
        <v>252</v>
      </c>
      <c r="R95" s="185">
        <f>K115</f>
        <v>0</v>
      </c>
      <c r="S95" s="185">
        <f>SUM(H30:J31)</f>
        <v>2.356194490192345</v>
      </c>
      <c r="T95" s="190" t="s">
        <v>13</v>
      </c>
      <c r="Y95" s="244">
        <v>21</v>
      </c>
      <c r="Z95" s="249">
        <f t="shared" si="8"/>
        <v>105.50000000000011</v>
      </c>
      <c r="AA95" s="71">
        <f t="shared" si="15"/>
        <v>1.4000000000000008</v>
      </c>
      <c r="AB95" s="246">
        <f t="shared" si="9"/>
        <v>6.294214496508549</v>
      </c>
      <c r="AC95" s="247">
        <f t="shared" si="10"/>
        <v>-1.9759594574352486</v>
      </c>
      <c r="AD95" s="247">
        <f t="shared" si="11"/>
        <v>5.351078113826038</v>
      </c>
      <c r="AE95" s="248">
        <f t="shared" si="12"/>
        <v>0</v>
      </c>
      <c r="AF95" s="200">
        <f t="shared" si="13"/>
        <v>0.46593103448275863</v>
      </c>
      <c r="AG95" s="200">
        <f t="shared" si="14"/>
        <v>0.468</v>
      </c>
      <c r="AH95" s="152">
        <f t="shared" si="16"/>
        <v>0.9431363826825114</v>
      </c>
      <c r="AI95" s="152">
        <f t="shared" si="17"/>
      </c>
    </row>
    <row r="96" spans="1:35" ht="12">
      <c r="A96" s="171">
        <v>2</v>
      </c>
      <c r="B96" s="46">
        <f t="shared" si="18"/>
        <v>0.5</v>
      </c>
      <c r="C96" s="48">
        <f t="shared" si="19"/>
        <v>-2.9499999999999886</v>
      </c>
      <c r="D96" s="48">
        <f t="shared" si="20"/>
        <v>0</v>
      </c>
      <c r="E96" s="48">
        <f t="shared" si="21"/>
        <v>0.15110870299692813</v>
      </c>
      <c r="F96" s="178">
        <f t="shared" si="22"/>
        <v>2.816881406825936</v>
      </c>
      <c r="G96" s="178">
        <f t="shared" si="23"/>
        <v>5.368879523312229</v>
      </c>
      <c r="H96" s="46">
        <f t="shared" si="24"/>
        <v>0.471</v>
      </c>
      <c r="I96" s="46">
        <f t="shared" si="25"/>
        <v>0.462</v>
      </c>
      <c r="J96" s="48">
        <f t="shared" si="26"/>
        <v>0</v>
      </c>
      <c r="K96" s="48">
        <f t="shared" si="27"/>
        <v>0.14718380162038455</v>
      </c>
      <c r="L96" s="252">
        <f aca="true" t="shared" si="29" ref="L96:L115">IF(F96=0,"",J96/F96)</f>
        <v>0</v>
      </c>
      <c r="M96" s="252">
        <f aca="true" t="shared" si="30" ref="M96:M114">IF(G96=0,"",K96/G96)</f>
        <v>0.027414249282610516</v>
      </c>
      <c r="N96" s="261">
        <f t="shared" si="28"/>
        <v>137.41250000000002</v>
      </c>
      <c r="Y96" s="244">
        <v>22</v>
      </c>
      <c r="Z96" s="249">
        <f t="shared" si="8"/>
        <v>111.3476000000001</v>
      </c>
      <c r="AA96" s="71">
        <f t="shared" si="15"/>
        <v>1.4600000000000009</v>
      </c>
      <c r="AB96" s="246">
        <f t="shared" si="9"/>
        <v>6.625612309076306</v>
      </c>
      <c r="AC96" s="247">
        <f t="shared" si="10"/>
        <v>-1.6777014261242669</v>
      </c>
      <c r="AD96" s="247">
        <f t="shared" si="11"/>
        <v>5.656555749256054</v>
      </c>
      <c r="AE96" s="248">
        <f t="shared" si="12"/>
        <v>0</v>
      </c>
      <c r="AF96" s="200">
        <f t="shared" si="13"/>
        <v>0.46593103448275863</v>
      </c>
      <c r="AG96" s="200">
        <f t="shared" si="14"/>
        <v>0.468</v>
      </c>
      <c r="AH96" s="152">
        <f t="shared" si="16"/>
        <v>0.9690565598202525</v>
      </c>
      <c r="AI96" s="152">
        <f t="shared" si="17"/>
      </c>
    </row>
    <row r="97" spans="1:35" ht="13.5">
      <c r="A97" s="171">
        <v>3</v>
      </c>
      <c r="B97" s="46">
        <f t="shared" si="18"/>
        <v>0.8</v>
      </c>
      <c r="C97" s="48">
        <f t="shared" si="19"/>
        <v>37.520000000000024</v>
      </c>
      <c r="D97" s="48">
        <f t="shared" si="20"/>
        <v>1.9357917374432552</v>
      </c>
      <c r="E97" s="48">
        <f t="shared" si="21"/>
        <v>0</v>
      </c>
      <c r="F97" s="178">
        <f t="shared" si="22"/>
        <v>5.657434085978141</v>
      </c>
      <c r="G97" s="178">
        <f t="shared" si="23"/>
        <v>3.877589366757321</v>
      </c>
      <c r="H97" s="46">
        <f t="shared" si="24"/>
        <v>0.471</v>
      </c>
      <c r="I97" s="46">
        <f t="shared" si="25"/>
        <v>0.462</v>
      </c>
      <c r="J97" s="48">
        <f t="shared" si="26"/>
        <v>1.8494825516973776</v>
      </c>
      <c r="K97" s="48">
        <f t="shared" si="27"/>
        <v>0</v>
      </c>
      <c r="L97" s="252">
        <f t="shared" si="29"/>
        <v>0.3269119045118511</v>
      </c>
      <c r="M97" s="252">
        <f t="shared" si="30"/>
        <v>0</v>
      </c>
      <c r="N97" s="261">
        <f t="shared" si="28"/>
        <v>123.01250000000002</v>
      </c>
      <c r="Q97" s="149" t="s">
        <v>284</v>
      </c>
      <c r="R97" s="234">
        <f>0.26*VLOOKUP(H7,tabfck,2)/L8*10000*IF(B10=0,B8,B10)*L14</f>
        <v>1.2168000000000003</v>
      </c>
      <c r="S97" s="151" t="s">
        <v>287</v>
      </c>
      <c r="Y97" s="244">
        <v>23</v>
      </c>
      <c r="Z97" s="249">
        <f t="shared" si="8"/>
        <v>117.02240000000008</v>
      </c>
      <c r="AA97" s="71">
        <f t="shared" si="15"/>
        <v>1.520000000000001</v>
      </c>
      <c r="AB97" s="246">
        <f t="shared" si="9"/>
        <v>6.957010121644064</v>
      </c>
      <c r="AC97" s="247">
        <f t="shared" si="10"/>
        <v>-1.3794433948132852</v>
      </c>
      <c r="AD97" s="247">
        <f t="shared" si="11"/>
        <v>5.953955423978453</v>
      </c>
      <c r="AE97" s="248">
        <f t="shared" si="12"/>
        <v>0</v>
      </c>
      <c r="AF97" s="200">
        <f t="shared" si="13"/>
        <v>0.46593103448275863</v>
      </c>
      <c r="AG97" s="200">
        <f t="shared" si="14"/>
        <v>0.468</v>
      </c>
      <c r="AH97" s="152">
        <f t="shared" si="16"/>
        <v>1.0030546976656112</v>
      </c>
      <c r="AI97" s="152">
        <f t="shared" si="17"/>
      </c>
    </row>
    <row r="98" spans="1:35" ht="13.5">
      <c r="A98" s="171">
        <v>4</v>
      </c>
      <c r="B98" s="46">
        <f t="shared" si="18"/>
        <v>1.0999999999999999</v>
      </c>
      <c r="C98" s="48">
        <f t="shared" si="19"/>
        <v>73.67000000000002</v>
      </c>
      <c r="D98" s="48">
        <f t="shared" si="20"/>
        <v>3.836459023372043</v>
      </c>
      <c r="E98" s="48">
        <f t="shared" si="21"/>
        <v>0</v>
      </c>
      <c r="F98" s="178">
        <f t="shared" si="22"/>
        <v>6.031857894892402</v>
      </c>
      <c r="G98" s="178">
        <f t="shared" si="23"/>
        <v>3.3929200658769765</v>
      </c>
      <c r="H98" s="46">
        <f t="shared" si="24"/>
        <v>0.471</v>
      </c>
      <c r="I98" s="46">
        <f t="shared" si="25"/>
        <v>0.468</v>
      </c>
      <c r="J98" s="48">
        <f t="shared" si="26"/>
        <v>3.665406710228067</v>
      </c>
      <c r="K98" s="48">
        <f t="shared" si="27"/>
        <v>0</v>
      </c>
      <c r="L98" s="252">
        <f t="shared" si="29"/>
        <v>0.607674579557291</v>
      </c>
      <c r="M98" s="252">
        <f t="shared" si="30"/>
        <v>0</v>
      </c>
      <c r="N98" s="261">
        <f t="shared" si="28"/>
        <v>108.61250000000003</v>
      </c>
      <c r="P98" s="225" t="s">
        <v>255</v>
      </c>
      <c r="Y98" s="244">
        <v>24</v>
      </c>
      <c r="Z98" s="249">
        <f t="shared" si="8"/>
        <v>122.52440000000011</v>
      </c>
      <c r="AA98" s="71">
        <f t="shared" si="15"/>
        <v>1.580000000000001</v>
      </c>
      <c r="AB98" s="246">
        <f t="shared" si="9"/>
        <v>7.288407934211821</v>
      </c>
      <c r="AC98" s="247">
        <f t="shared" si="10"/>
        <v>-1.0811853635023037</v>
      </c>
      <c r="AD98" s="247">
        <f t="shared" si="11"/>
        <v>6.2432002354151255</v>
      </c>
      <c r="AE98" s="248">
        <f t="shared" si="12"/>
        <v>0</v>
      </c>
      <c r="AF98" s="200">
        <f t="shared" si="13"/>
        <v>0.46593103448275863</v>
      </c>
      <c r="AG98" s="200">
        <f t="shared" si="14"/>
        <v>0.468</v>
      </c>
      <c r="AH98" s="152">
        <f t="shared" si="16"/>
        <v>1.0452076987966956</v>
      </c>
      <c r="AI98" s="152">
        <f t="shared" si="17"/>
      </c>
    </row>
    <row r="99" spans="1:35" ht="13.5">
      <c r="A99" s="171">
        <v>5</v>
      </c>
      <c r="B99" s="46">
        <f t="shared" si="18"/>
        <v>1.4000000000000001</v>
      </c>
      <c r="C99" s="48">
        <f t="shared" si="19"/>
        <v>105.5</v>
      </c>
      <c r="D99" s="48">
        <f t="shared" si="20"/>
        <v>5.540518580384472</v>
      </c>
      <c r="E99" s="48">
        <f t="shared" si="21"/>
        <v>0</v>
      </c>
      <c r="F99" s="178">
        <f t="shared" si="22"/>
        <v>6.294214496508546</v>
      </c>
      <c r="G99" s="178">
        <f t="shared" si="23"/>
        <v>1.975959457435252</v>
      </c>
      <c r="H99" s="46">
        <f t="shared" si="24"/>
        <v>0.46593103448275863</v>
      </c>
      <c r="I99" s="46">
        <f t="shared" si="25"/>
        <v>0.468</v>
      </c>
      <c r="J99" s="48">
        <f t="shared" si="26"/>
        <v>5.351078113826033</v>
      </c>
      <c r="K99" s="48">
        <f t="shared" si="27"/>
        <v>0</v>
      </c>
      <c r="L99" s="252">
        <f t="shared" si="29"/>
        <v>0.8501582074767744</v>
      </c>
      <c r="M99" s="252">
        <f t="shared" si="30"/>
        <v>0</v>
      </c>
      <c r="N99" s="261">
        <f t="shared" si="28"/>
        <v>94.2125</v>
      </c>
      <c r="O99" s="42" t="s">
        <v>346</v>
      </c>
      <c r="P99" s="227">
        <f>R93/S93</f>
        <v>0.9667636047011022</v>
      </c>
      <c r="Q99" s="228" t="str">
        <f>IF(P99&lt;1,"OK","KO")</f>
        <v>OK</v>
      </c>
      <c r="T99" s="226" t="s">
        <v>301</v>
      </c>
      <c r="Y99" s="244">
        <v>25</v>
      </c>
      <c r="Z99" s="249">
        <f t="shared" si="8"/>
        <v>127.85360000000011</v>
      </c>
      <c r="AA99" s="71">
        <f t="shared" si="15"/>
        <v>1.640000000000001</v>
      </c>
      <c r="AB99" s="246">
        <f t="shared" si="9"/>
        <v>7.619805746779579</v>
      </c>
      <c r="AC99" s="247">
        <f t="shared" si="10"/>
        <v>-0.7829273321913216</v>
      </c>
      <c r="AD99" s="247">
        <f t="shared" si="11"/>
        <v>6.524214450572088</v>
      </c>
      <c r="AE99" s="248">
        <f t="shared" si="12"/>
        <v>0</v>
      </c>
      <c r="AF99" s="200">
        <f t="shared" si="13"/>
        <v>0.46593103448275863</v>
      </c>
      <c r="AG99" s="200">
        <f t="shared" si="14"/>
        <v>0.468</v>
      </c>
      <c r="AH99" s="152">
        <f t="shared" si="16"/>
        <v>1.0955912962074912</v>
      </c>
      <c r="AI99" s="152">
        <f t="shared" si="17"/>
      </c>
    </row>
    <row r="100" spans="1:35" ht="13.5">
      <c r="A100" s="171">
        <v>6</v>
      </c>
      <c r="B100" s="46">
        <f t="shared" si="18"/>
        <v>1.7</v>
      </c>
      <c r="C100" s="48">
        <f t="shared" si="19"/>
        <v>133.01</v>
      </c>
      <c r="D100" s="48">
        <f t="shared" si="20"/>
        <v>7.037550311014803</v>
      </c>
      <c r="E100" s="48">
        <f t="shared" si="21"/>
        <v>0</v>
      </c>
      <c r="F100" s="178">
        <f t="shared" si="22"/>
        <v>7.95120355934733</v>
      </c>
      <c r="G100" s="178">
        <f t="shared" si="23"/>
        <v>0.4846693008803456</v>
      </c>
      <c r="H100" s="46">
        <f t="shared" si="24"/>
        <v>0.46593103448275863</v>
      </c>
      <c r="I100" s="46">
        <f t="shared" si="25"/>
        <v>0.468</v>
      </c>
      <c r="J100" s="48">
        <f t="shared" si="26"/>
        <v>6.796923590789164</v>
      </c>
      <c r="K100" s="48">
        <f t="shared" si="27"/>
        <v>0</v>
      </c>
      <c r="L100" s="252">
        <f t="shared" si="29"/>
        <v>0.8548295286439737</v>
      </c>
      <c r="M100" s="252">
        <f t="shared" si="30"/>
        <v>0</v>
      </c>
      <c r="N100" s="261">
        <f t="shared" si="28"/>
        <v>79.81250000000001</v>
      </c>
      <c r="O100" s="42" t="s">
        <v>347</v>
      </c>
      <c r="P100" s="230">
        <f>R94/S94</f>
        <v>0.36358661353873223</v>
      </c>
      <c r="Q100" s="228" t="str">
        <f>IF(P100&lt;1,"OK","KO")</f>
        <v>OK</v>
      </c>
      <c r="S100" s="149" t="s">
        <v>275</v>
      </c>
      <c r="T100" s="229">
        <f>AH73</f>
        <v>0.24527317307688357</v>
      </c>
      <c r="U100" s="151" t="s">
        <v>12</v>
      </c>
      <c r="Y100" s="244">
        <v>26</v>
      </c>
      <c r="Z100" s="249">
        <f t="shared" si="8"/>
        <v>133.0100000000001</v>
      </c>
      <c r="AA100" s="71">
        <f t="shared" si="15"/>
        <v>1.700000000000001</v>
      </c>
      <c r="AB100" s="246">
        <f t="shared" si="9"/>
        <v>7.951203559347336</v>
      </c>
      <c r="AC100" s="247">
        <f t="shared" si="10"/>
        <v>-0.48466930088034</v>
      </c>
      <c r="AD100" s="247">
        <f t="shared" si="11"/>
        <v>6.79692359078917</v>
      </c>
      <c r="AE100" s="248">
        <f t="shared" si="12"/>
        <v>0</v>
      </c>
      <c r="AF100" s="200">
        <f t="shared" si="13"/>
        <v>0.46593103448275863</v>
      </c>
      <c r="AG100" s="200">
        <f t="shared" si="14"/>
        <v>0.468</v>
      </c>
      <c r="AH100" s="152">
        <f t="shared" si="16"/>
        <v>1.154279968558166</v>
      </c>
      <c r="AI100" s="152">
        <f t="shared" si="17"/>
      </c>
    </row>
    <row r="101" spans="1:35" ht="13.5">
      <c r="A101" s="171">
        <v>7</v>
      </c>
      <c r="B101" s="46">
        <f t="shared" si="18"/>
        <v>1.9999999999999998</v>
      </c>
      <c r="C101" s="48">
        <f t="shared" si="19"/>
        <v>156.2</v>
      </c>
      <c r="D101" s="48">
        <f t="shared" si="20"/>
        <v>8.317785274768898</v>
      </c>
      <c r="E101" s="48">
        <f t="shared" si="21"/>
        <v>0</v>
      </c>
      <c r="F101" s="178">
        <f t="shared" si="22"/>
        <v>9.1106186954104</v>
      </c>
      <c r="G101" s="178">
        <f t="shared" si="23"/>
        <v>0</v>
      </c>
      <c r="H101" s="182">
        <f t="shared" si="24"/>
        <v>0.46593103448275863</v>
      </c>
      <c r="I101" s="182">
        <f t="shared" si="25"/>
        <v>0.474</v>
      </c>
      <c r="J101" s="178">
        <f t="shared" si="26"/>
        <v>8.03338497896197</v>
      </c>
      <c r="K101" s="178">
        <f t="shared" si="27"/>
        <v>0</v>
      </c>
      <c r="L101" s="252">
        <f t="shared" si="29"/>
        <v>0.8817606408013648</v>
      </c>
      <c r="M101" s="252">
        <f t="shared" si="30"/>
      </c>
      <c r="N101" s="261">
        <f t="shared" si="28"/>
        <v>65.41250000000002</v>
      </c>
      <c r="O101" s="42" t="s">
        <v>348</v>
      </c>
      <c r="P101" s="232">
        <f>R95/S95</f>
        <v>0</v>
      </c>
      <c r="Q101" s="228" t="str">
        <f>IF(P101&lt;1,"OK","KO")</f>
        <v>OK</v>
      </c>
      <c r="S101" s="149" t="s">
        <v>276</v>
      </c>
      <c r="T101" s="231">
        <f>-AI73</f>
        <v>4.318599498234308</v>
      </c>
      <c r="U101" s="151" t="s">
        <v>12</v>
      </c>
      <c r="Y101" s="244">
        <v>27</v>
      </c>
      <c r="Z101" s="249">
        <f t="shared" si="8"/>
        <v>137.99360000000007</v>
      </c>
      <c r="AA101" s="71">
        <f t="shared" si="15"/>
        <v>1.7600000000000011</v>
      </c>
      <c r="AB101" s="246">
        <f t="shared" si="9"/>
        <v>8.282601371915094</v>
      </c>
      <c r="AC101" s="247">
        <f t="shared" si="10"/>
        <v>-0.18641126956935833</v>
      </c>
      <c r="AD101" s="247">
        <f t="shared" si="11"/>
        <v>7.0612545169902</v>
      </c>
      <c r="AE101" s="248">
        <f t="shared" si="12"/>
        <v>0</v>
      </c>
      <c r="AF101" s="200">
        <f t="shared" si="13"/>
        <v>0.46593103448275863</v>
      </c>
      <c r="AG101" s="200">
        <f t="shared" si="14"/>
        <v>0.468</v>
      </c>
      <c r="AH101" s="152">
        <f t="shared" si="16"/>
        <v>1.221346854924894</v>
      </c>
      <c r="AI101" s="152">
        <f t="shared" si="17"/>
      </c>
    </row>
    <row r="102" spans="1:35" ht="12">
      <c r="A102" s="171">
        <v>8</v>
      </c>
      <c r="B102" s="46">
        <f t="shared" si="18"/>
        <v>2.3</v>
      </c>
      <c r="C102" s="48">
        <f t="shared" si="19"/>
        <v>175.07000000000002</v>
      </c>
      <c r="D102" s="48">
        <f t="shared" si="20"/>
        <v>9.372377061778515</v>
      </c>
      <c r="E102" s="48">
        <f t="shared" si="21"/>
        <v>0</v>
      </c>
      <c r="F102" s="178">
        <f t="shared" si="22"/>
        <v>9.572208505772632</v>
      </c>
      <c r="G102" s="178">
        <f t="shared" si="23"/>
        <v>0</v>
      </c>
      <c r="H102" s="182">
        <f t="shared" si="24"/>
        <v>0.458585635359116</v>
      </c>
      <c r="I102" s="182">
        <f t="shared" si="25"/>
        <v>0.474</v>
      </c>
      <c r="J102" s="178">
        <f t="shared" si="26"/>
        <v>9.196907518696207</v>
      </c>
      <c r="K102" s="178">
        <f t="shared" si="27"/>
        <v>0</v>
      </c>
      <c r="L102" s="252">
        <f t="shared" si="29"/>
        <v>0.9607926439493983</v>
      </c>
      <c r="M102" s="252">
        <f t="shared" si="30"/>
      </c>
      <c r="N102" s="261">
        <f t="shared" si="28"/>
        <v>51.01250000000002</v>
      </c>
      <c r="Y102" s="244">
        <v>28</v>
      </c>
      <c r="Z102" s="249">
        <f t="shared" si="8"/>
        <v>142.8044000000001</v>
      </c>
      <c r="AA102" s="71">
        <f t="shared" si="15"/>
        <v>1.8200000000000012</v>
      </c>
      <c r="AB102" s="246">
        <f t="shared" si="9"/>
        <v>8.61399918448285</v>
      </c>
      <c r="AC102" s="247">
        <f t="shared" si="10"/>
        <v>0</v>
      </c>
      <c r="AD102" s="247">
        <f t="shared" si="11"/>
        <v>7.317135515248139</v>
      </c>
      <c r="AE102" s="248">
        <f t="shared" si="12"/>
        <v>0</v>
      </c>
      <c r="AF102" s="200">
        <f t="shared" si="13"/>
        <v>0.46593103448275863</v>
      </c>
      <c r="AG102" s="200">
        <f t="shared" si="14"/>
        <v>0.474</v>
      </c>
      <c r="AH102" s="152">
        <f t="shared" si="16"/>
        <v>1.2968636692347113</v>
      </c>
      <c r="AI102" s="152">
        <f t="shared" si="17"/>
      </c>
    </row>
    <row r="103" spans="1:35" ht="12">
      <c r="A103" s="171">
        <v>9</v>
      </c>
      <c r="B103" s="46">
        <f t="shared" si="18"/>
        <v>2.6000000000000005</v>
      </c>
      <c r="C103" s="48">
        <f t="shared" si="19"/>
        <v>189.62000000000003</v>
      </c>
      <c r="D103" s="48">
        <f t="shared" si="20"/>
        <v>10.193674383780388</v>
      </c>
      <c r="E103" s="48">
        <f t="shared" si="21"/>
        <v>0</v>
      </c>
      <c r="F103" s="178">
        <f t="shared" si="22"/>
        <v>10.992484845348738</v>
      </c>
      <c r="G103" s="178">
        <f t="shared" si="23"/>
        <v>0</v>
      </c>
      <c r="H103" s="182">
        <f t="shared" si="24"/>
        <v>0.458585635359116</v>
      </c>
      <c r="I103" s="182">
        <f t="shared" si="25"/>
        <v>0.474</v>
      </c>
      <c r="J103" s="178">
        <f t="shared" si="26"/>
        <v>10.002828521022032</v>
      </c>
      <c r="K103" s="178">
        <f t="shared" si="27"/>
        <v>0</v>
      </c>
      <c r="L103" s="252">
        <f t="shared" si="29"/>
        <v>0.9099697349370957</v>
      </c>
      <c r="M103" s="252">
        <f t="shared" si="30"/>
      </c>
      <c r="N103" s="261">
        <f t="shared" si="28"/>
        <v>36.61249999999998</v>
      </c>
      <c r="P103" s="29" t="s">
        <v>319</v>
      </c>
      <c r="U103" s="155" t="s">
        <v>338</v>
      </c>
      <c r="Y103" s="244">
        <v>29</v>
      </c>
      <c r="Z103" s="249">
        <f t="shared" si="8"/>
        <v>147.44240000000013</v>
      </c>
      <c r="AA103" s="71">
        <f t="shared" si="15"/>
        <v>1.8800000000000012</v>
      </c>
      <c r="AB103" s="246">
        <f t="shared" si="9"/>
        <v>8.945396997050608</v>
      </c>
      <c r="AC103" s="247">
        <f t="shared" si="10"/>
        <v>0</v>
      </c>
      <c r="AD103" s="247">
        <f t="shared" si="11"/>
        <v>7.564496382471121</v>
      </c>
      <c r="AE103" s="248">
        <f t="shared" si="12"/>
        <v>0</v>
      </c>
      <c r="AF103" s="200">
        <f t="shared" si="13"/>
        <v>0.46593103448275863</v>
      </c>
      <c r="AG103" s="200">
        <f t="shared" si="14"/>
        <v>0.474</v>
      </c>
      <c r="AH103" s="152">
        <f t="shared" si="16"/>
        <v>1.3809006145794873</v>
      </c>
      <c r="AI103" s="152">
        <f t="shared" si="17"/>
      </c>
    </row>
    <row r="104" spans="1:35" ht="13.5">
      <c r="A104" s="171">
        <v>10</v>
      </c>
      <c r="B104" s="46">
        <f t="shared" si="18"/>
        <v>2.9000000000000004</v>
      </c>
      <c r="C104" s="48">
        <f t="shared" si="19"/>
        <v>199.85000000000002</v>
      </c>
      <c r="D104" s="48">
        <f t="shared" si="20"/>
        <v>10.77547789284649</v>
      </c>
      <c r="E104" s="48">
        <f t="shared" si="21"/>
        <v>0</v>
      </c>
      <c r="F104" s="178">
        <f t="shared" si="22"/>
        <v>11.37256540599505</v>
      </c>
      <c r="G104" s="178">
        <f t="shared" si="23"/>
        <v>0</v>
      </c>
      <c r="H104" s="182">
        <f t="shared" si="24"/>
        <v>0.458585635359116</v>
      </c>
      <c r="I104" s="182">
        <f t="shared" si="25"/>
        <v>0.474</v>
      </c>
      <c r="J104" s="178">
        <f t="shared" si="26"/>
        <v>10.573739511015694</v>
      </c>
      <c r="K104" s="178">
        <f t="shared" si="27"/>
        <v>0</v>
      </c>
      <c r="L104" s="252">
        <f t="shared" si="29"/>
        <v>0.9297585138918387</v>
      </c>
      <c r="M104" s="252">
        <f t="shared" si="30"/>
      </c>
      <c r="N104" s="261">
        <f t="shared" si="28"/>
        <v>22.21249999999999</v>
      </c>
      <c r="P104" s="42" t="s">
        <v>336</v>
      </c>
      <c r="Q104" s="151" t="s">
        <v>311</v>
      </c>
      <c r="R104" s="149" t="s">
        <v>312</v>
      </c>
      <c r="U104" s="43" t="s">
        <v>278</v>
      </c>
      <c r="V104" s="43" t="s">
        <v>313</v>
      </c>
      <c r="Y104" s="244">
        <v>30</v>
      </c>
      <c r="Z104" s="249">
        <f t="shared" si="8"/>
        <v>151.90760000000012</v>
      </c>
      <c r="AA104" s="71">
        <f t="shared" si="15"/>
        <v>1.9400000000000013</v>
      </c>
      <c r="AB104" s="246">
        <f t="shared" si="9"/>
        <v>9.1106186954104</v>
      </c>
      <c r="AC104" s="247">
        <f t="shared" si="10"/>
        <v>0</v>
      </c>
      <c r="AD104" s="247">
        <f t="shared" si="11"/>
        <v>7.803268512007657</v>
      </c>
      <c r="AE104" s="248">
        <f t="shared" si="12"/>
        <v>0</v>
      </c>
      <c r="AF104" s="200">
        <f t="shared" si="13"/>
        <v>0.46593103448275863</v>
      </c>
      <c r="AG104" s="200">
        <f t="shared" si="14"/>
        <v>0.474</v>
      </c>
      <c r="AH104" s="152">
        <f t="shared" si="16"/>
        <v>1.3073501834027432</v>
      </c>
      <c r="AI104" s="152">
        <f t="shared" si="17"/>
      </c>
    </row>
    <row r="105" spans="1:35" ht="13.5">
      <c r="A105" s="171">
        <v>11</v>
      </c>
      <c r="B105" s="46">
        <f t="shared" si="18"/>
        <v>3.2</v>
      </c>
      <c r="C105" s="48">
        <f t="shared" si="19"/>
        <v>205.76000000000005</v>
      </c>
      <c r="D105" s="48">
        <f t="shared" si="20"/>
        <v>11.113262856619945</v>
      </c>
      <c r="E105" s="48">
        <f t="shared" si="21"/>
        <v>0</v>
      </c>
      <c r="F105" s="178">
        <f t="shared" si="22"/>
        <v>11.37256540599505</v>
      </c>
      <c r="G105" s="178">
        <f t="shared" si="23"/>
        <v>0</v>
      </c>
      <c r="H105" s="182">
        <f t="shared" si="24"/>
        <v>0.458585635359116</v>
      </c>
      <c r="I105" s="182">
        <f t="shared" si="25"/>
        <v>0.474</v>
      </c>
      <c r="J105" s="178">
        <f t="shared" si="26"/>
        <v>10.9052004683111</v>
      </c>
      <c r="K105" s="178">
        <f t="shared" si="27"/>
        <v>0</v>
      </c>
      <c r="L105" s="252">
        <f t="shared" si="29"/>
        <v>0.9589041767623004</v>
      </c>
      <c r="M105" s="252">
        <f t="shared" si="30"/>
      </c>
      <c r="N105" s="261">
        <f t="shared" si="28"/>
        <v>7.8125</v>
      </c>
      <c r="P105" s="149">
        <v>0</v>
      </c>
      <c r="Q105" s="260">
        <f>N95</f>
        <v>151.8125</v>
      </c>
      <c r="R105" s="260">
        <f>N115</f>
        <v>-136.1875</v>
      </c>
      <c r="T105" s="149" t="s">
        <v>309</v>
      </c>
      <c r="U105" s="260">
        <f>Q107</f>
        <v>121.5197</v>
      </c>
      <c r="V105" s="260">
        <f>-R107</f>
        <v>106.24029999999999</v>
      </c>
      <c r="W105" s="151" t="s">
        <v>39</v>
      </c>
      <c r="Y105" s="244">
        <v>31</v>
      </c>
      <c r="Z105" s="249">
        <f t="shared" si="8"/>
        <v>156.20000000000005</v>
      </c>
      <c r="AA105" s="71">
        <f t="shared" si="15"/>
        <v>2.0000000000000013</v>
      </c>
      <c r="AB105" s="246">
        <f t="shared" si="9"/>
        <v>9.1106186954104</v>
      </c>
      <c r="AC105" s="247">
        <f t="shared" si="10"/>
        <v>0</v>
      </c>
      <c r="AD105" s="247">
        <f t="shared" si="11"/>
        <v>8.033384978961973</v>
      </c>
      <c r="AE105" s="248">
        <f t="shared" si="12"/>
        <v>0</v>
      </c>
      <c r="AF105" s="200">
        <f t="shared" si="13"/>
        <v>0.46593103448275863</v>
      </c>
      <c r="AG105" s="200">
        <f t="shared" si="14"/>
        <v>0.474</v>
      </c>
      <c r="AH105" s="152">
        <f t="shared" si="16"/>
        <v>1.0772337164484274</v>
      </c>
      <c r="AI105" s="152">
        <f t="shared" si="17"/>
      </c>
    </row>
    <row r="106" spans="1:35" ht="13.5">
      <c r="A106" s="171">
        <v>12</v>
      </c>
      <c r="B106" s="46">
        <f t="shared" si="18"/>
        <v>3.5000000000000004</v>
      </c>
      <c r="C106" s="48">
        <f t="shared" si="19"/>
        <v>207.35000000000002</v>
      </c>
      <c r="D106" s="48">
        <f t="shared" si="20"/>
        <v>11.204350048336515</v>
      </c>
      <c r="E106" s="48">
        <f t="shared" si="21"/>
        <v>0</v>
      </c>
      <c r="F106" s="178">
        <f t="shared" si="22"/>
        <v>11.37256540599505</v>
      </c>
      <c r="G106" s="178">
        <f t="shared" si="23"/>
        <v>0</v>
      </c>
      <c r="H106" s="182">
        <f t="shared" si="24"/>
        <v>0.458585635359116</v>
      </c>
      <c r="I106" s="182">
        <f t="shared" si="25"/>
        <v>0.474</v>
      </c>
      <c r="J106" s="178">
        <f t="shared" si="26"/>
        <v>10.99458232659883</v>
      </c>
      <c r="K106" s="178">
        <f t="shared" si="27"/>
        <v>0</v>
      </c>
      <c r="L106" s="252">
        <f t="shared" si="29"/>
        <v>0.9667636047011022</v>
      </c>
      <c r="M106" s="252">
        <f t="shared" si="30"/>
      </c>
      <c r="N106" s="261">
        <f t="shared" si="28"/>
        <v>-6.587500000000013</v>
      </c>
      <c r="P106" s="189" t="s">
        <v>33</v>
      </c>
      <c r="Q106" s="261">
        <f>N95-C21*(B15+H95)</f>
        <v>119.2205</v>
      </c>
      <c r="R106" s="47">
        <f>N115+C21*(B17-B115+H115)</f>
        <v>-103.9795</v>
      </c>
      <c r="T106" s="149" t="s">
        <v>339</v>
      </c>
      <c r="U106" s="48">
        <f>U105/Q114/$L15*10</f>
        <v>6.483305729529112</v>
      </c>
      <c r="V106" s="48">
        <f>V105/R114/$L15*10</f>
        <v>5.764394668553904</v>
      </c>
      <c r="W106" s="151" t="s">
        <v>341</v>
      </c>
      <c r="Y106" s="244">
        <v>32</v>
      </c>
      <c r="Z106" s="249">
        <f t="shared" si="8"/>
        <v>160.3196000000001</v>
      </c>
      <c r="AA106" s="71">
        <f t="shared" si="15"/>
        <v>2.0600000000000014</v>
      </c>
      <c r="AB106" s="246">
        <f t="shared" si="9"/>
        <v>9.1106186954104</v>
      </c>
      <c r="AC106" s="247">
        <f t="shared" si="10"/>
        <v>0</v>
      </c>
      <c r="AD106" s="247">
        <f t="shared" si="11"/>
        <v>8.254780625004019</v>
      </c>
      <c r="AE106" s="248">
        <f t="shared" si="12"/>
        <v>0</v>
      </c>
      <c r="AF106" s="200">
        <f t="shared" si="13"/>
        <v>0.46593103448275863</v>
      </c>
      <c r="AG106" s="200">
        <f t="shared" si="14"/>
        <v>0.474</v>
      </c>
      <c r="AH106" s="152">
        <f t="shared" si="16"/>
        <v>0.8558380704063815</v>
      </c>
      <c r="AI106" s="152">
        <f t="shared" si="17"/>
      </c>
    </row>
    <row r="107" spans="1:35" ht="13.5">
      <c r="A107" s="171">
        <v>13</v>
      </c>
      <c r="B107" s="46">
        <f t="shared" si="18"/>
        <v>3.8</v>
      </c>
      <c r="C107" s="48">
        <f t="shared" si="19"/>
        <v>204.62000000000003</v>
      </c>
      <c r="D107" s="48">
        <f t="shared" si="20"/>
        <v>11.048010297235898</v>
      </c>
      <c r="E107" s="48">
        <f t="shared" si="21"/>
        <v>0</v>
      </c>
      <c r="F107" s="178">
        <f t="shared" si="22"/>
        <v>11.37256540599505</v>
      </c>
      <c r="G107" s="178">
        <f t="shared" si="23"/>
        <v>0</v>
      </c>
      <c r="H107" s="182">
        <f t="shared" si="24"/>
        <v>0.458585635359116</v>
      </c>
      <c r="I107" s="182">
        <f t="shared" si="25"/>
        <v>0.474</v>
      </c>
      <c r="J107" s="178">
        <f t="shared" si="26"/>
        <v>10.841169566645751</v>
      </c>
      <c r="K107" s="178">
        <f t="shared" si="27"/>
        <v>0</v>
      </c>
      <c r="L107" s="252">
        <f t="shared" si="29"/>
        <v>0.9532738814525372</v>
      </c>
      <c r="M107" s="252">
        <f t="shared" si="30"/>
      </c>
      <c r="N107" s="261">
        <f t="shared" si="28"/>
        <v>-20.987499999999983</v>
      </c>
      <c r="P107" s="189" t="s">
        <v>310</v>
      </c>
      <c r="Q107" s="262">
        <f>N95-C21*(B15+0.9*H95*H9)</f>
        <v>121.5197</v>
      </c>
      <c r="R107" s="262">
        <f>N115+C21*(B17-B115+0.9*H115*H9)</f>
        <v>-106.24029999999999</v>
      </c>
      <c r="T107" s="149" t="s">
        <v>342</v>
      </c>
      <c r="U107" s="49">
        <f>0.08*B10*SQRT(H7)/L8*10000</f>
        <v>1.6</v>
      </c>
      <c r="V107" s="49">
        <f>U107</f>
        <v>1.6</v>
      </c>
      <c r="Y107" s="244">
        <v>33</v>
      </c>
      <c r="Z107" s="249">
        <f aca="true" t="shared" si="31" ref="Z107:Z138">C$22*(1-AA107/B$17)+C$23*(AA107/B$17)+C$21*AA107*(B$17-AA107)/2</f>
        <v>164.26640000000015</v>
      </c>
      <c r="AA107" s="71">
        <f t="shared" si="15"/>
        <v>2.1200000000000014</v>
      </c>
      <c r="AB107" s="246">
        <f aca="true" t="shared" si="32" ref="AB107:AB138">fAs3(AA107,B$15,B$26:D$26,B$27:D$27,B$28:D$28,L$18,L$15,H$14)</f>
        <v>9.1106186954104</v>
      </c>
      <c r="AC107" s="247">
        <f aca="true" t="shared" si="33" ref="AC107:AC138">-fAsg(AA107,B$15,L$14,E$26:G$26,E$28:G$28,L$18,L$15,H$15)-fAsd(AA107,B$15,L$14,B$7,H$26:J$26,H$28:J$28,L$18,L$15,H$15)</f>
        <v>0</v>
      </c>
      <c r="AD107" s="247">
        <f aca="true" t="shared" si="34" ref="AD107:AD138">IF(Z107&gt;=0,facier(Z107,B$8,B$9,B$10,B$11,L$14,L$14,H$10,H$11,L$15,L$16,L$17),0)*L$14/AF107</f>
        <v>8.46739214245297</v>
      </c>
      <c r="AE107" s="248">
        <f aca="true" t="shared" si="35" ref="AE107:AE138">IF(Z107&lt;0,-facier(Z107,B$8,B$9,B$10,B$11,C$21,L$14,H$10,H$11,L$15,L$16,L$17),0)*L$14/AG107</f>
        <v>0</v>
      </c>
      <c r="AF107" s="200">
        <f aca="true" t="shared" si="36" ref="AF107:AF138">futil(AA107,B$7,B$9,L$11,AB107,ABS(AC107),L$12,L$13,tabac,1)</f>
        <v>0.46593103448275863</v>
      </c>
      <c r="AG107" s="200">
        <f aca="true" t="shared" si="37" ref="AG107:AG138">futil(AA107,B$7,B$9,L$11,AB107,ABS(AC107),L$12,L$13,tabac,2)</f>
        <v>0.474</v>
      </c>
      <c r="AH107" s="152">
        <f t="shared" si="16"/>
        <v>0.6432265529574295</v>
      </c>
      <c r="AI107" s="152">
        <f t="shared" si="17"/>
      </c>
    </row>
    <row r="108" spans="1:35" ht="13.5">
      <c r="A108" s="171">
        <v>14</v>
      </c>
      <c r="B108" s="46">
        <f t="shared" si="18"/>
        <v>4.1000000000000005</v>
      </c>
      <c r="C108" s="48">
        <f t="shared" si="19"/>
        <v>197.57</v>
      </c>
      <c r="D108" s="48">
        <f t="shared" si="20"/>
        <v>10.645493378080996</v>
      </c>
      <c r="E108" s="48">
        <f t="shared" si="21"/>
        <v>0</v>
      </c>
      <c r="F108" s="178">
        <f t="shared" si="22"/>
        <v>11.37256540599505</v>
      </c>
      <c r="G108" s="178">
        <f t="shared" si="23"/>
        <v>0</v>
      </c>
      <c r="H108" s="182">
        <f t="shared" si="24"/>
        <v>0.458585635359116</v>
      </c>
      <c r="I108" s="182">
        <f t="shared" si="25"/>
        <v>0.474</v>
      </c>
      <c r="J108" s="178">
        <f t="shared" si="26"/>
        <v>10.446188564945029</v>
      </c>
      <c r="K108" s="178">
        <f t="shared" si="27"/>
        <v>0</v>
      </c>
      <c r="L108" s="252">
        <f t="shared" si="29"/>
        <v>0.9185428434149359</v>
      </c>
      <c r="M108" s="252">
        <f t="shared" si="30"/>
      </c>
      <c r="N108" s="261">
        <f t="shared" si="28"/>
        <v>-35.38750000000002</v>
      </c>
      <c r="U108" s="151" t="s">
        <v>340</v>
      </c>
      <c r="Y108" s="244">
        <v>34</v>
      </c>
      <c r="Z108" s="249">
        <f t="shared" si="31"/>
        <v>168.0404000000001</v>
      </c>
      <c r="AA108" s="71">
        <f aca="true" t="shared" si="38" ref="AA108:AA139">AA107+B$7/Y$74</f>
        <v>2.1800000000000015</v>
      </c>
      <c r="AB108" s="246">
        <f t="shared" si="32"/>
        <v>9.1106186954104</v>
      </c>
      <c r="AC108" s="247">
        <f t="shared" si="33"/>
        <v>0</v>
      </c>
      <c r="AD108" s="247">
        <f t="shared" si="34"/>
        <v>8.671158157408293</v>
      </c>
      <c r="AE108" s="248">
        <f t="shared" si="35"/>
        <v>0</v>
      </c>
      <c r="AF108" s="200">
        <f t="shared" si="36"/>
        <v>0.46593103448275863</v>
      </c>
      <c r="AG108" s="200">
        <f t="shared" si="37"/>
        <v>0.474</v>
      </c>
      <c r="AH108" s="152">
        <f t="shared" si="16"/>
        <v>0.43946053800210727</v>
      </c>
      <c r="AI108" s="152">
        <f t="shared" si="17"/>
      </c>
    </row>
    <row r="109" spans="1:35" ht="12">
      <c r="A109" s="171">
        <v>15</v>
      </c>
      <c r="B109" s="46">
        <f t="shared" si="18"/>
        <v>4.3999999999999995</v>
      </c>
      <c r="C109" s="48">
        <f t="shared" si="19"/>
        <v>186.20000000000007</v>
      </c>
      <c r="D109" s="48">
        <f t="shared" si="20"/>
        <v>9.99997860962812</v>
      </c>
      <c r="E109" s="48">
        <f t="shared" si="21"/>
        <v>0</v>
      </c>
      <c r="F109" s="178">
        <f t="shared" si="22"/>
        <v>10.519059398823375</v>
      </c>
      <c r="G109" s="178">
        <f t="shared" si="23"/>
        <v>0</v>
      </c>
      <c r="H109" s="182">
        <f t="shared" si="24"/>
        <v>0.458585635359116</v>
      </c>
      <c r="I109" s="182">
        <f t="shared" si="25"/>
        <v>0.474</v>
      </c>
      <c r="J109" s="178">
        <f t="shared" si="26"/>
        <v>9.81275911708123</v>
      </c>
      <c r="K109" s="178">
        <f t="shared" si="27"/>
        <v>0</v>
      </c>
      <c r="L109" s="252">
        <f t="shared" si="29"/>
        <v>0.9328551864797769</v>
      </c>
      <c r="M109" s="252">
        <f t="shared" si="30"/>
      </c>
      <c r="N109" s="261">
        <f t="shared" si="28"/>
        <v>-49.787499999999966</v>
      </c>
      <c r="V109" s="151"/>
      <c r="Y109" s="244">
        <v>35</v>
      </c>
      <c r="Z109" s="249">
        <f t="shared" si="31"/>
        <v>171.64160000000004</v>
      </c>
      <c r="AA109" s="71">
        <f t="shared" si="38"/>
        <v>2.2400000000000015</v>
      </c>
      <c r="AB109" s="246">
        <f t="shared" si="32"/>
        <v>9.28815323785742</v>
      </c>
      <c r="AC109" s="247">
        <f t="shared" si="33"/>
        <v>0</v>
      </c>
      <c r="AD109" s="247">
        <f t="shared" si="34"/>
        <v>9.008030847736455</v>
      </c>
      <c r="AE109" s="248">
        <f t="shared" si="35"/>
        <v>0</v>
      </c>
      <c r="AF109" s="200">
        <f t="shared" si="36"/>
        <v>0.458585635359116</v>
      </c>
      <c r="AG109" s="200">
        <f t="shared" si="37"/>
        <v>0.474</v>
      </c>
      <c r="AH109" s="152">
        <f t="shared" si="16"/>
        <v>0.2801223901209653</v>
      </c>
      <c r="AI109" s="152">
        <f t="shared" si="17"/>
      </c>
    </row>
    <row r="110" spans="1:35" ht="12">
      <c r="A110" s="171">
        <v>16</v>
      </c>
      <c r="B110" s="46">
        <f t="shared" si="18"/>
        <v>4.7</v>
      </c>
      <c r="C110" s="48">
        <f t="shared" si="19"/>
        <v>170.51000000000005</v>
      </c>
      <c r="D110" s="48">
        <f t="shared" si="20"/>
        <v>9.116451645427105</v>
      </c>
      <c r="E110" s="48">
        <f t="shared" si="21"/>
        <v>0</v>
      </c>
      <c r="F110" s="178">
        <f t="shared" si="22"/>
        <v>9.1106186954104</v>
      </c>
      <c r="G110" s="178">
        <f t="shared" si="23"/>
        <v>0</v>
      </c>
      <c r="H110" s="46">
        <f t="shared" si="24"/>
        <v>0.46593103448275863</v>
      </c>
      <c r="I110" s="46">
        <f t="shared" si="25"/>
        <v>0.474</v>
      </c>
      <c r="J110" s="48">
        <f t="shared" si="26"/>
        <v>8.804743485259305</v>
      </c>
      <c r="K110" s="48">
        <f t="shared" si="27"/>
        <v>0</v>
      </c>
      <c r="L110" s="252">
        <f t="shared" si="29"/>
        <v>0.9664265160932283</v>
      </c>
      <c r="M110" s="252">
        <f t="shared" si="30"/>
      </c>
      <c r="N110" s="261">
        <f t="shared" si="28"/>
        <v>-64.1875</v>
      </c>
      <c r="Q110" s="29" t="s">
        <v>318</v>
      </c>
      <c r="U110" s="151"/>
      <c r="Y110" s="244">
        <v>36</v>
      </c>
      <c r="Z110" s="249">
        <f t="shared" si="31"/>
        <v>175.0700000000001</v>
      </c>
      <c r="AA110" s="71">
        <f t="shared" si="38"/>
        <v>2.3000000000000016</v>
      </c>
      <c r="AB110" s="246">
        <f t="shared" si="32"/>
        <v>9.57220850577264</v>
      </c>
      <c r="AC110" s="247">
        <f t="shared" si="33"/>
        <v>0</v>
      </c>
      <c r="AD110" s="247">
        <f t="shared" si="34"/>
        <v>9.196907518696209</v>
      </c>
      <c r="AE110" s="248">
        <f t="shared" si="35"/>
        <v>0</v>
      </c>
      <c r="AF110" s="200">
        <f t="shared" si="36"/>
        <v>0.458585635359116</v>
      </c>
      <c r="AG110" s="200">
        <f t="shared" si="37"/>
        <v>0.474</v>
      </c>
      <c r="AH110" s="152">
        <f t="shared" si="16"/>
        <v>0.37530098707643056</v>
      </c>
      <c r="AI110" s="152">
        <f t="shared" si="17"/>
      </c>
    </row>
    <row r="111" spans="1:35" ht="12">
      <c r="A111" s="171">
        <v>17</v>
      </c>
      <c r="B111" s="46">
        <f t="shared" si="18"/>
        <v>5.000000000000001</v>
      </c>
      <c r="C111" s="48">
        <f t="shared" si="19"/>
        <v>150.49999999999997</v>
      </c>
      <c r="D111" s="48">
        <f t="shared" si="20"/>
        <v>8.001518336677204</v>
      </c>
      <c r="E111" s="48">
        <f t="shared" si="21"/>
        <v>0</v>
      </c>
      <c r="F111" s="178">
        <f t="shared" si="22"/>
        <v>9.055862934573183</v>
      </c>
      <c r="G111" s="178">
        <f t="shared" si="23"/>
        <v>0</v>
      </c>
      <c r="H111" s="46">
        <f t="shared" si="24"/>
        <v>0.46593103448275863</v>
      </c>
      <c r="I111" s="46">
        <f t="shared" si="25"/>
        <v>0.474</v>
      </c>
      <c r="J111" s="48">
        <f t="shared" si="26"/>
        <v>7.7279317860892185</v>
      </c>
      <c r="K111" s="48">
        <f t="shared" si="27"/>
        <v>0</v>
      </c>
      <c r="L111" s="252">
        <f t="shared" si="29"/>
        <v>0.8533622739127122</v>
      </c>
      <c r="M111" s="252">
        <f t="shared" si="30"/>
      </c>
      <c r="N111" s="261">
        <f t="shared" si="28"/>
        <v>-78.58750000000003</v>
      </c>
      <c r="Q111" s="43" t="s">
        <v>278</v>
      </c>
      <c r="R111" s="43" t="s">
        <v>313</v>
      </c>
      <c r="Y111" s="244">
        <v>37</v>
      </c>
      <c r="Z111" s="249">
        <f t="shared" si="31"/>
        <v>178.32560000000015</v>
      </c>
      <c r="AA111" s="71">
        <f t="shared" si="38"/>
        <v>2.3600000000000017</v>
      </c>
      <c r="AB111" s="246">
        <f t="shared" si="32"/>
        <v>9.85626377368786</v>
      </c>
      <c r="AC111" s="247">
        <f t="shared" si="33"/>
        <v>0</v>
      </c>
      <c r="AD111" s="247">
        <f t="shared" si="34"/>
        <v>9.376622547094629</v>
      </c>
      <c r="AE111" s="248">
        <f t="shared" si="35"/>
        <v>0</v>
      </c>
      <c r="AF111" s="200">
        <f t="shared" si="36"/>
        <v>0.458585635359116</v>
      </c>
      <c r="AG111" s="200">
        <f t="shared" si="37"/>
        <v>0.474</v>
      </c>
      <c r="AH111" s="152">
        <f t="shared" si="16"/>
        <v>0.47964122659323216</v>
      </c>
      <c r="AI111" s="152">
        <f t="shared" si="17"/>
      </c>
    </row>
    <row r="112" spans="1:35" ht="13.5">
      <c r="A112" s="171">
        <v>18</v>
      </c>
      <c r="B112" s="46">
        <f t="shared" si="18"/>
        <v>5.3</v>
      </c>
      <c r="C112" s="48">
        <f t="shared" si="19"/>
        <v>126.17000000000003</v>
      </c>
      <c r="D112" s="48">
        <f t="shared" si="20"/>
        <v>6.6631712621690635</v>
      </c>
      <c r="E112" s="48">
        <f t="shared" si="21"/>
        <v>0</v>
      </c>
      <c r="F112" s="178">
        <f t="shared" si="22"/>
        <v>7.398873871734403</v>
      </c>
      <c r="G112" s="178">
        <f t="shared" si="23"/>
        <v>0</v>
      </c>
      <c r="H112" s="46">
        <f t="shared" si="24"/>
        <v>0.46593103448275863</v>
      </c>
      <c r="I112" s="46">
        <f t="shared" si="25"/>
        <v>0.474</v>
      </c>
      <c r="J112" s="48">
        <f t="shared" si="26"/>
        <v>6.435345246544277</v>
      </c>
      <c r="K112" s="48">
        <f t="shared" si="27"/>
        <v>0</v>
      </c>
      <c r="L112" s="252">
        <f t="shared" si="29"/>
        <v>0.8697736112422388</v>
      </c>
      <c r="M112" s="252">
        <f t="shared" si="30"/>
      </c>
      <c r="N112" s="261">
        <f t="shared" si="28"/>
        <v>-92.98749999999998</v>
      </c>
      <c r="P112" s="149" t="s">
        <v>309</v>
      </c>
      <c r="Q112" s="260">
        <f>Q105</f>
        <v>151.8125</v>
      </c>
      <c r="R112" s="260">
        <f>R105</f>
        <v>-136.1875</v>
      </c>
      <c r="S112" s="151" t="s">
        <v>39</v>
      </c>
      <c r="Y112" s="244">
        <v>38</v>
      </c>
      <c r="Z112" s="249">
        <f t="shared" si="31"/>
        <v>181.4084000000001</v>
      </c>
      <c r="AA112" s="71">
        <f t="shared" si="38"/>
        <v>2.4200000000000017</v>
      </c>
      <c r="AB112" s="246">
        <f t="shared" si="32"/>
        <v>10.140319041603082</v>
      </c>
      <c r="AC112" s="247">
        <f t="shared" si="33"/>
        <v>0</v>
      </c>
      <c r="AD112" s="247">
        <f t="shared" si="34"/>
        <v>9.547122252033507</v>
      </c>
      <c r="AE112" s="248">
        <f t="shared" si="35"/>
        <v>0</v>
      </c>
      <c r="AF112" s="200">
        <f t="shared" si="36"/>
        <v>0.458585635359116</v>
      </c>
      <c r="AG112" s="200">
        <f t="shared" si="37"/>
        <v>0.474</v>
      </c>
      <c r="AH112" s="152">
        <f t="shared" si="16"/>
        <v>0.5931967895695749</v>
      </c>
      <c r="AI112" s="152">
        <f t="shared" si="17"/>
      </c>
    </row>
    <row r="113" spans="1:35" ht="13.5">
      <c r="A113" s="171">
        <v>19</v>
      </c>
      <c r="B113" s="46">
        <f t="shared" si="18"/>
        <v>5.6000000000000005</v>
      </c>
      <c r="C113" s="48">
        <f t="shared" si="19"/>
        <v>97.51999999999998</v>
      </c>
      <c r="D113" s="48">
        <f t="shared" si="20"/>
        <v>5.110526985860931</v>
      </c>
      <c r="E113" s="48">
        <f t="shared" si="21"/>
        <v>0</v>
      </c>
      <c r="F113" s="178">
        <f t="shared" si="22"/>
        <v>6.031857894892402</v>
      </c>
      <c r="G113" s="178">
        <f t="shared" si="23"/>
        <v>0</v>
      </c>
      <c r="H113" s="46">
        <f t="shared" si="24"/>
        <v>0.471</v>
      </c>
      <c r="I113" s="46">
        <f t="shared" si="25"/>
        <v>0.474</v>
      </c>
      <c r="J113" s="48">
        <f t="shared" si="26"/>
        <v>4.88266909477159</v>
      </c>
      <c r="K113" s="48">
        <f t="shared" si="27"/>
        <v>0</v>
      </c>
      <c r="L113" s="252">
        <f t="shared" si="29"/>
        <v>0.8094801269947173</v>
      </c>
      <c r="M113" s="252">
        <f t="shared" si="30"/>
      </c>
      <c r="N113" s="261">
        <f t="shared" si="28"/>
        <v>-107.38750000000002</v>
      </c>
      <c r="P113" s="149" t="s">
        <v>324</v>
      </c>
      <c r="Q113" s="47">
        <f>-B28</f>
        <v>0.2</v>
      </c>
      <c r="R113" s="47">
        <f>B27+B28-B7</f>
        <v>0.4500000000000002</v>
      </c>
      <c r="S113" s="151" t="s">
        <v>11</v>
      </c>
      <c r="T113" s="91" t="s">
        <v>337</v>
      </c>
      <c r="Y113" s="244">
        <v>39</v>
      </c>
      <c r="Z113" s="249">
        <f t="shared" si="31"/>
        <v>184.3184000000001</v>
      </c>
      <c r="AA113" s="71">
        <f t="shared" si="38"/>
        <v>2.4800000000000018</v>
      </c>
      <c r="AB113" s="246">
        <f t="shared" si="32"/>
        <v>10.424374309518303</v>
      </c>
      <c r="AC113" s="247">
        <f t="shared" si="33"/>
        <v>0</v>
      </c>
      <c r="AD113" s="247">
        <f t="shared" si="34"/>
        <v>9.708355316909575</v>
      </c>
      <c r="AE113" s="248">
        <f t="shared" si="35"/>
        <v>0</v>
      </c>
      <c r="AF113" s="200">
        <f t="shared" si="36"/>
        <v>0.458585635359116</v>
      </c>
      <c r="AG113" s="200">
        <f t="shared" si="37"/>
        <v>0.474</v>
      </c>
      <c r="AH113" s="152">
        <f t="shared" si="16"/>
        <v>0.7160189926087277</v>
      </c>
      <c r="AI113" s="152">
        <f t="shared" si="17"/>
      </c>
    </row>
    <row r="114" spans="1:35" ht="12">
      <c r="A114" s="171">
        <v>20</v>
      </c>
      <c r="B114" s="46">
        <f t="shared" si="18"/>
        <v>5.8999999999999995</v>
      </c>
      <c r="C114" s="48">
        <f t="shared" si="19"/>
        <v>64.55000000000011</v>
      </c>
      <c r="D114" s="48">
        <f t="shared" si="20"/>
        <v>3.3535522347397544</v>
      </c>
      <c r="E114" s="48">
        <f t="shared" si="21"/>
        <v>0</v>
      </c>
      <c r="F114" s="178">
        <f t="shared" si="22"/>
        <v>5.184008639452787</v>
      </c>
      <c r="G114" s="178">
        <f t="shared" si="23"/>
        <v>0.40389108406695085</v>
      </c>
      <c r="H114" s="46">
        <f t="shared" si="24"/>
        <v>0.471</v>
      </c>
      <c r="I114" s="46">
        <f t="shared" si="25"/>
        <v>0.469</v>
      </c>
      <c r="J114" s="48">
        <f t="shared" si="26"/>
        <v>3.204030797522059</v>
      </c>
      <c r="K114" s="48">
        <f t="shared" si="27"/>
        <v>0</v>
      </c>
      <c r="L114" s="252">
        <f t="shared" si="29"/>
        <v>0.6180604664000463</v>
      </c>
      <c r="M114" s="252">
        <f t="shared" si="30"/>
        <v>0</v>
      </c>
      <c r="N114" s="261">
        <f t="shared" si="28"/>
        <v>-121.78749999999997</v>
      </c>
      <c r="P114" s="149" t="s">
        <v>21</v>
      </c>
      <c r="Q114" s="46">
        <f>0.9*H95</f>
        <v>0.4311</v>
      </c>
      <c r="R114" s="46">
        <f>0.9*H115</f>
        <v>0.4239</v>
      </c>
      <c r="S114" s="151" t="s">
        <v>11</v>
      </c>
      <c r="T114" s="195" t="s">
        <v>325</v>
      </c>
      <c r="Y114" s="244">
        <v>40</v>
      </c>
      <c r="Z114" s="249">
        <f t="shared" si="31"/>
        <v>187.0556000000001</v>
      </c>
      <c r="AA114" s="71">
        <f t="shared" si="38"/>
        <v>2.540000000000002</v>
      </c>
      <c r="AB114" s="246">
        <f t="shared" si="32"/>
        <v>10.708429577433524</v>
      </c>
      <c r="AC114" s="247">
        <f t="shared" si="33"/>
        <v>0</v>
      </c>
      <c r="AD114" s="247">
        <f t="shared" si="34"/>
        <v>9.860272863100027</v>
      </c>
      <c r="AE114" s="248">
        <f t="shared" si="35"/>
        <v>0</v>
      </c>
      <c r="AF114" s="200">
        <f t="shared" si="36"/>
        <v>0.458585635359116</v>
      </c>
      <c r="AG114" s="200">
        <f t="shared" si="37"/>
        <v>0.474</v>
      </c>
      <c r="AH114" s="152">
        <f t="shared" si="16"/>
        <v>0.8481567143334967</v>
      </c>
      <c r="AI114" s="152">
        <f t="shared" si="17"/>
      </c>
    </row>
    <row r="115" spans="1:35" ht="13.5">
      <c r="A115" s="171">
        <v>21</v>
      </c>
      <c r="B115" s="184">
        <f t="shared" si="18"/>
        <v>6.2</v>
      </c>
      <c r="C115" s="185">
        <f t="shared" si="19"/>
        <v>27.26000000000003</v>
      </c>
      <c r="D115" s="185">
        <f t="shared" si="20"/>
        <v>1.4027953369926993</v>
      </c>
      <c r="E115" s="185">
        <f t="shared" si="21"/>
        <v>0</v>
      </c>
      <c r="F115" s="186">
        <f t="shared" si="22"/>
        <v>2.3434559603005765</v>
      </c>
      <c r="G115" s="186">
        <f t="shared" si="23"/>
        <v>1.646632881196043</v>
      </c>
      <c r="H115" s="184">
        <f t="shared" si="24"/>
        <v>0.471</v>
      </c>
      <c r="I115" s="184">
        <f t="shared" si="25"/>
        <v>0.469</v>
      </c>
      <c r="J115" s="185">
        <f t="shared" si="26"/>
        <v>1.3402503219675472</v>
      </c>
      <c r="K115" s="185">
        <f t="shared" si="27"/>
        <v>0</v>
      </c>
      <c r="L115" s="253">
        <f t="shared" si="29"/>
        <v>0.5719118876872958</v>
      </c>
      <c r="M115" s="253">
        <f>K115/G115</f>
        <v>0</v>
      </c>
      <c r="N115" s="262">
        <f t="shared" si="28"/>
        <v>-136.1875</v>
      </c>
      <c r="P115" s="149" t="s">
        <v>314</v>
      </c>
      <c r="Q115" s="46">
        <f>0.5*$H9+0.5*Q113/Q114</f>
        <v>0.7319647413593134</v>
      </c>
      <c r="R115" s="46">
        <f>0.5*$H9+0.5*R113/R114</f>
        <v>1.0307855626326967</v>
      </c>
      <c r="S115" s="151"/>
      <c r="T115" s="195" t="s">
        <v>326</v>
      </c>
      <c r="Y115" s="244">
        <v>41</v>
      </c>
      <c r="Z115" s="249">
        <f t="shared" si="31"/>
        <v>189.62000000000012</v>
      </c>
      <c r="AA115" s="71">
        <f t="shared" si="38"/>
        <v>2.600000000000002</v>
      </c>
      <c r="AB115" s="246">
        <f t="shared" si="32"/>
        <v>10.992484845348745</v>
      </c>
      <c r="AC115" s="247">
        <f t="shared" si="33"/>
        <v>0</v>
      </c>
      <c r="AD115" s="247">
        <f t="shared" si="34"/>
        <v>10.002828521022037</v>
      </c>
      <c r="AE115" s="248">
        <f t="shared" si="35"/>
        <v>0</v>
      </c>
      <c r="AF115" s="200">
        <f t="shared" si="36"/>
        <v>0.458585635359116</v>
      </c>
      <c r="AG115" s="200">
        <f t="shared" si="37"/>
        <v>0.474</v>
      </c>
      <c r="AH115" s="152">
        <f t="shared" si="16"/>
        <v>0.9896563243267078</v>
      </c>
      <c r="AI115" s="152">
        <f t="shared" si="17"/>
      </c>
    </row>
    <row r="116" spans="3:35" ht="13.5">
      <c r="C116" s="152"/>
      <c r="P116" s="149" t="s">
        <v>315</v>
      </c>
      <c r="Q116" s="48">
        <f>Q112+C95/Q114</f>
        <v>41.072532475063795</v>
      </c>
      <c r="R116" s="48">
        <f>-R107+C115/R114</f>
        <v>170.54791972163252</v>
      </c>
      <c r="S116" s="151" t="s">
        <v>39</v>
      </c>
      <c r="T116" s="195" t="s">
        <v>316</v>
      </c>
      <c r="Y116" s="244">
        <v>42</v>
      </c>
      <c r="Z116" s="249">
        <f t="shared" si="31"/>
        <v>192.0116000000001</v>
      </c>
      <c r="AA116" s="71">
        <f t="shared" si="38"/>
        <v>2.660000000000002</v>
      </c>
      <c r="AB116" s="246">
        <f t="shared" si="32"/>
        <v>11.276540113263964</v>
      </c>
      <c r="AC116" s="247">
        <f t="shared" si="33"/>
        <v>0</v>
      </c>
      <c r="AD116" s="247">
        <f t="shared" si="34"/>
        <v>10.135978498336028</v>
      </c>
      <c r="AE116" s="248">
        <f t="shared" si="35"/>
        <v>0</v>
      </c>
      <c r="AF116" s="200">
        <f t="shared" si="36"/>
        <v>0.458585635359116</v>
      </c>
      <c r="AG116" s="200">
        <f t="shared" si="37"/>
        <v>0.474</v>
      </c>
      <c r="AH116" s="152">
        <f t="shared" si="16"/>
        <v>1.140561614927936</v>
      </c>
      <c r="AI116" s="152">
        <f t="shared" si="17"/>
      </c>
    </row>
    <row r="117" spans="1:35" ht="13.5">
      <c r="A117" s="258" t="s">
        <v>299</v>
      </c>
      <c r="E117" s="138" t="s">
        <v>188</v>
      </c>
      <c r="L117" s="149"/>
      <c r="P117" s="149" t="s">
        <v>236</v>
      </c>
      <c r="Q117" s="50">
        <f>MAX(0,Q116/$L15*10)</f>
        <v>0.9446682469264672</v>
      </c>
      <c r="R117" s="50">
        <f>MAX(0,R116/$L15*10)</f>
        <v>3.922602153597548</v>
      </c>
      <c r="S117" s="151" t="s">
        <v>13</v>
      </c>
      <c r="T117" s="195" t="s">
        <v>317</v>
      </c>
      <c r="Y117" s="244">
        <v>43</v>
      </c>
      <c r="Z117" s="249">
        <f t="shared" si="31"/>
        <v>194.2304000000001</v>
      </c>
      <c r="AA117" s="71">
        <f t="shared" si="38"/>
        <v>2.720000000000002</v>
      </c>
      <c r="AB117" s="246">
        <f t="shared" si="32"/>
        <v>11.37256540599505</v>
      </c>
      <c r="AC117" s="247">
        <f t="shared" si="33"/>
        <v>0</v>
      </c>
      <c r="AD117" s="247">
        <f t="shared" si="34"/>
        <v>10.259681645067781</v>
      </c>
      <c r="AE117" s="248">
        <f t="shared" si="35"/>
        <v>0</v>
      </c>
      <c r="AF117" s="200">
        <f t="shared" si="36"/>
        <v>0.458585635359116</v>
      </c>
      <c r="AG117" s="200">
        <f t="shared" si="37"/>
        <v>0.474</v>
      </c>
      <c r="AH117" s="152">
        <f t="shared" si="16"/>
        <v>1.1128837609272697</v>
      </c>
      <c r="AI117" s="152">
        <f t="shared" si="17"/>
      </c>
    </row>
    <row r="118" spans="1:35" ht="13.5">
      <c r="A118" s="155"/>
      <c r="B118" s="256" t="s">
        <v>302</v>
      </c>
      <c r="C118" s="152"/>
      <c r="E118" s="156" t="s">
        <v>192</v>
      </c>
      <c r="F118" s="158"/>
      <c r="G118" s="154"/>
      <c r="J118" s="156" t="s">
        <v>193</v>
      </c>
      <c r="K118" s="154"/>
      <c r="M118" s="159" t="s">
        <v>194</v>
      </c>
      <c r="N118" s="159" t="s">
        <v>195</v>
      </c>
      <c r="P118" s="149" t="s">
        <v>320</v>
      </c>
      <c r="Q118" s="261">
        <f>Q112*SQRT(1+$H9^2)</f>
        <v>214.6952964377655</v>
      </c>
      <c r="R118" s="261">
        <f>-R112*SQRT(1+$H9^2)</f>
        <v>192.5982095256859</v>
      </c>
      <c r="S118" s="151" t="s">
        <v>39</v>
      </c>
      <c r="T118" s="195" t="s">
        <v>321</v>
      </c>
      <c r="Y118" s="244">
        <v>44</v>
      </c>
      <c r="Z118" s="249">
        <f t="shared" si="31"/>
        <v>196.2764000000001</v>
      </c>
      <c r="AA118" s="71">
        <f t="shared" si="38"/>
        <v>2.780000000000002</v>
      </c>
      <c r="AB118" s="246">
        <f t="shared" si="32"/>
        <v>11.37256540599505</v>
      </c>
      <c r="AC118" s="247">
        <f t="shared" si="33"/>
        <v>0</v>
      </c>
      <c r="AD118" s="247">
        <f t="shared" si="34"/>
        <v>10.373899515431168</v>
      </c>
      <c r="AE118" s="248">
        <f t="shared" si="35"/>
        <v>0</v>
      </c>
      <c r="AF118" s="200">
        <f t="shared" si="36"/>
        <v>0.458585635359116</v>
      </c>
      <c r="AG118" s="200">
        <f t="shared" si="37"/>
        <v>0.474</v>
      </c>
      <c r="AH118" s="152">
        <f t="shared" si="16"/>
        <v>0.998665890563883</v>
      </c>
      <c r="AI118" s="152">
        <f t="shared" si="17"/>
      </c>
    </row>
    <row r="119" spans="2:35" ht="13.5">
      <c r="B119" s="160" t="s">
        <v>197</v>
      </c>
      <c r="C119" s="160" t="s">
        <v>198</v>
      </c>
      <c r="D119" s="160" t="s">
        <v>7</v>
      </c>
      <c r="E119" s="161" t="s">
        <v>201</v>
      </c>
      <c r="F119" s="161" t="s">
        <v>202</v>
      </c>
      <c r="G119" s="162" t="s">
        <v>203</v>
      </c>
      <c r="H119" s="160" t="s">
        <v>204</v>
      </c>
      <c r="I119" s="163" t="s">
        <v>21</v>
      </c>
      <c r="J119" s="164" t="s">
        <v>26</v>
      </c>
      <c r="K119" s="164" t="s">
        <v>205</v>
      </c>
      <c r="L119" s="160" t="s">
        <v>206</v>
      </c>
      <c r="M119" s="165" t="s">
        <v>207</v>
      </c>
      <c r="N119" s="166" t="s">
        <v>208</v>
      </c>
      <c r="P119" s="21" t="s">
        <v>322</v>
      </c>
      <c r="Q119" s="48">
        <f>2*Q112*(1+$H9^2)/($B10*(Q113+Q114*$H9))/1000</f>
        <v>4.811044208524798</v>
      </c>
      <c r="R119" s="48">
        <f>-2*R112*(1+$H9^2)/($B10*(R113+R114*$H9))/1000</f>
        <v>3.1167753747568363</v>
      </c>
      <c r="S119" s="151" t="s">
        <v>10</v>
      </c>
      <c r="T119" s="264">
        <f>0.6*(1-H$7/250)*H$10</f>
        <v>9.000000000000002</v>
      </c>
      <c r="U119" s="195" t="s">
        <v>329</v>
      </c>
      <c r="Y119" s="244">
        <v>45</v>
      </c>
      <c r="Z119" s="249">
        <f t="shared" si="31"/>
        <v>198.1496000000001</v>
      </c>
      <c r="AA119" s="71">
        <f t="shared" si="38"/>
        <v>2.840000000000002</v>
      </c>
      <c r="AB119" s="246">
        <f t="shared" si="32"/>
        <v>11.37256540599505</v>
      </c>
      <c r="AC119" s="247">
        <f t="shared" si="33"/>
        <v>0</v>
      </c>
      <c r="AD119" s="247">
        <f t="shared" si="34"/>
        <v>10.478596426141106</v>
      </c>
      <c r="AE119" s="248">
        <f t="shared" si="35"/>
        <v>0</v>
      </c>
      <c r="AF119" s="200">
        <f t="shared" si="36"/>
        <v>0.458585635359116</v>
      </c>
      <c r="AG119" s="200">
        <f t="shared" si="37"/>
        <v>0.474</v>
      </c>
      <c r="AH119" s="152">
        <f t="shared" si="16"/>
        <v>0.8939689798539447</v>
      </c>
      <c r="AI119" s="152">
        <f t="shared" si="17"/>
      </c>
    </row>
    <row r="120" spans="2:35" ht="13.5">
      <c r="B120" s="167" t="s">
        <v>11</v>
      </c>
      <c r="C120" s="167" t="s">
        <v>12</v>
      </c>
      <c r="D120" s="168" t="s">
        <v>209</v>
      </c>
      <c r="E120" s="169" t="s">
        <v>86</v>
      </c>
      <c r="F120" s="169" t="s">
        <v>87</v>
      </c>
      <c r="G120" s="169" t="s">
        <v>87</v>
      </c>
      <c r="H120" s="167" t="s">
        <v>12</v>
      </c>
      <c r="I120" s="167" t="s">
        <v>210</v>
      </c>
      <c r="J120" s="167" t="s">
        <v>11</v>
      </c>
      <c r="K120" s="169" t="s">
        <v>86</v>
      </c>
      <c r="L120" s="167" t="s">
        <v>211</v>
      </c>
      <c r="M120" s="167" t="s">
        <v>212</v>
      </c>
      <c r="N120" s="170" t="s">
        <v>186</v>
      </c>
      <c r="P120" s="21" t="s">
        <v>323</v>
      </c>
      <c r="Q120" s="185">
        <f>Q112*(1+$H9^2)/($B10*Q113)/1000</f>
        <v>7.590624999999998</v>
      </c>
      <c r="R120" s="185">
        <f>-R112*(1+$H9^2)/($B10*R113)/1000</f>
        <v>3.0263888888888877</v>
      </c>
      <c r="S120" s="151" t="s">
        <v>10</v>
      </c>
      <c r="T120" s="264">
        <f>0.85*(1-H$7/250)*H$10</f>
        <v>12.750000000000002</v>
      </c>
      <c r="U120" s="195" t="s">
        <v>330</v>
      </c>
      <c r="Y120" s="244">
        <v>46</v>
      </c>
      <c r="Z120" s="249">
        <f t="shared" si="31"/>
        <v>199.85000000000008</v>
      </c>
      <c r="AA120" s="71">
        <f t="shared" si="38"/>
        <v>2.900000000000002</v>
      </c>
      <c r="AB120" s="246">
        <f t="shared" si="32"/>
        <v>11.37256540599505</v>
      </c>
      <c r="AC120" s="247">
        <f t="shared" si="33"/>
        <v>0</v>
      </c>
      <c r="AD120" s="247">
        <f t="shared" si="34"/>
        <v>10.573739511015695</v>
      </c>
      <c r="AE120" s="248">
        <f t="shared" si="35"/>
        <v>0</v>
      </c>
      <c r="AF120" s="200">
        <f t="shared" si="36"/>
        <v>0.458585635359116</v>
      </c>
      <c r="AG120" s="200">
        <f t="shared" si="37"/>
        <v>0.474</v>
      </c>
      <c r="AH120" s="152">
        <f t="shared" si="16"/>
        <v>0.7988258949793554</v>
      </c>
      <c r="AI120" s="152">
        <f t="shared" si="17"/>
      </c>
    </row>
    <row r="121" spans="1:35" ht="13.5">
      <c r="A121" s="171">
        <v>1</v>
      </c>
      <c r="B121" s="172">
        <f>B$7*(A121-1)/20</f>
        <v>0</v>
      </c>
      <c r="C121" s="173">
        <f aca="true" t="shared" si="39" ref="C121:C141">B$22*(1-B95/B$17)+B$23*(B95/B$17)+B$21*B95*(B$17-B95)/2</f>
        <v>-27.357499999999998</v>
      </c>
      <c r="D121" s="175">
        <f aca="true" t="shared" si="40" ref="D121:D141">fsimp(A95,B$14)</f>
        <v>1</v>
      </c>
      <c r="E121" s="175">
        <f aca="true" t="shared" si="41" ref="E121:E141">finer(B$8,B$9,B$10,B$11,I95,H95,G95,F95,L$10,4)</f>
        <v>0.0033620672391148484</v>
      </c>
      <c r="F121" s="176">
        <f aca="true" t="shared" si="42" ref="F121:F141">finer(B$8,B$9,B$10,B$11,I95,H95,G95,F95,L$10,5)</f>
        <v>0.017871237182946885</v>
      </c>
      <c r="G121" s="176">
        <f aca="true" t="shared" si="43" ref="G121:G141">finer(B$8,B$9,B$10,B$11,I95,H95,G95,F95,L$10,6)</f>
        <v>0.010780254322015102</v>
      </c>
      <c r="H121" s="173">
        <f>H$13*IF(C121&gt;0,G121,F121)*1000</f>
        <v>51.1117383432281</v>
      </c>
      <c r="I121" s="172">
        <f>MAX(0,1-(H121/C121)^2)</f>
        <v>0</v>
      </c>
      <c r="J121" s="254">
        <f aca="true" t="shared" si="44" ref="J121:J141">finef(B$8,B$9,B$10,B$11,I95,H95,G95,F95,L$10,1)</f>
        <v>0.044374382807681155</v>
      </c>
      <c r="K121" s="177">
        <f aca="true" t="shared" si="45" ref="K121:K141">finef(B$8,B$9,B$10,B$11,I95,H95,G95,F95,L$10,2)</f>
        <v>4.06035901716617E-05</v>
      </c>
      <c r="L121" s="172">
        <f aca="true" t="shared" si="46" ref="L121:L141">C121/H$16*((1-I121)/E121+I121/K121)</f>
        <v>-0.26445596912989866</v>
      </c>
      <c r="M121" s="172">
        <f aca="true" t="shared" si="47" ref="M121:M141">fsimpson(L$121:L$141,A$95,A95,0,B121)+T$126</f>
        <v>-8.048315827738678</v>
      </c>
      <c r="N121" s="173">
        <f aca="true" t="shared" si="48" ref="N121:N141">fsimpson(M$121:M$141,A$95,A95,0,B121)</f>
        <v>0</v>
      </c>
      <c r="Q121" s="142" t="s">
        <v>327</v>
      </c>
      <c r="Y121" s="244">
        <v>47</v>
      </c>
      <c r="Z121" s="249">
        <f t="shared" si="31"/>
        <v>201.37760000000006</v>
      </c>
      <c r="AA121" s="71">
        <f t="shared" si="38"/>
        <v>2.960000000000002</v>
      </c>
      <c r="AB121" s="246">
        <f t="shared" si="32"/>
        <v>11.37256540599505</v>
      </c>
      <c r="AC121" s="247">
        <f t="shared" si="33"/>
        <v>0</v>
      </c>
      <c r="AD121" s="247">
        <f t="shared" si="34"/>
        <v>10.659298771676713</v>
      </c>
      <c r="AE121" s="248">
        <f t="shared" si="35"/>
        <v>0</v>
      </c>
      <c r="AF121" s="200">
        <f t="shared" si="36"/>
        <v>0.458585635359116</v>
      </c>
      <c r="AG121" s="200">
        <f t="shared" si="37"/>
        <v>0.474</v>
      </c>
      <c r="AH121" s="152">
        <f t="shared" si="16"/>
        <v>0.7132666343183374</v>
      </c>
      <c r="AI121" s="152">
        <f t="shared" si="17"/>
      </c>
    </row>
    <row r="122" spans="1:35" ht="14.25">
      <c r="A122" s="171">
        <v>2</v>
      </c>
      <c r="B122" s="46">
        <f aca="true" t="shared" si="49" ref="B122:B141">B$7*(A122-1)/20</f>
        <v>0.3</v>
      </c>
      <c r="C122" s="48">
        <f t="shared" si="39"/>
        <v>4.056250000000006</v>
      </c>
      <c r="D122" s="47">
        <f t="shared" si="40"/>
        <v>4</v>
      </c>
      <c r="E122" s="47">
        <f t="shared" si="41"/>
        <v>0.0034848548036641117</v>
      </c>
      <c r="F122" s="47">
        <f t="shared" si="42"/>
        <v>0.018089719690714243</v>
      </c>
      <c r="G122" s="47">
        <f t="shared" si="43"/>
        <v>0.011338127589525933</v>
      </c>
      <c r="H122" s="48">
        <f aca="true" t="shared" si="50" ref="H122:H141">H$13*IF(C96&gt;0,G122,F122)*1000</f>
        <v>51.73659831544274</v>
      </c>
      <c r="I122" s="46">
        <f aca="true" t="shared" si="51" ref="I122:I141">MAX(0,1-(H122/C122)^2)</f>
        <v>0</v>
      </c>
      <c r="J122" s="45">
        <f t="shared" si="44"/>
        <v>0.0585264980289716</v>
      </c>
      <c r="K122" s="179">
        <f t="shared" si="45"/>
        <v>0.00036258812981892466</v>
      </c>
      <c r="L122" s="46">
        <f t="shared" si="46"/>
        <v>0.03782887162512222</v>
      </c>
      <c r="M122" s="46">
        <f t="shared" si="47"/>
        <v>-8.081118312940113</v>
      </c>
      <c r="N122" s="48">
        <f t="shared" si="48"/>
        <v>-2.421503520493839</v>
      </c>
      <c r="Q122" s="142" t="s">
        <v>328</v>
      </c>
      <c r="Y122" s="244">
        <v>48</v>
      </c>
      <c r="Z122" s="249">
        <f t="shared" si="31"/>
        <v>202.73240000000004</v>
      </c>
      <c r="AA122" s="71">
        <f t="shared" si="38"/>
        <v>3.0200000000000022</v>
      </c>
      <c r="AB122" s="246">
        <f t="shared" si="32"/>
        <v>11.37256540599505</v>
      </c>
      <c r="AC122" s="247">
        <f t="shared" si="33"/>
        <v>0</v>
      </c>
      <c r="AD122" s="247">
        <f t="shared" si="34"/>
        <v>10.735247124169183</v>
      </c>
      <c r="AE122" s="248">
        <f t="shared" si="35"/>
        <v>0</v>
      </c>
      <c r="AF122" s="200">
        <f t="shared" si="36"/>
        <v>0.458585635359116</v>
      </c>
      <c r="AG122" s="200">
        <f t="shared" si="37"/>
        <v>0.474</v>
      </c>
      <c r="AH122" s="152">
        <f t="shared" si="16"/>
        <v>0.637318281825868</v>
      </c>
      <c r="AI122" s="152">
        <f t="shared" si="17"/>
      </c>
    </row>
    <row r="123" spans="1:35" ht="12">
      <c r="A123" s="171">
        <v>3</v>
      </c>
      <c r="B123" s="46">
        <f t="shared" si="49"/>
        <v>0.6</v>
      </c>
      <c r="C123" s="48">
        <f t="shared" si="39"/>
        <v>32.41000000000001</v>
      </c>
      <c r="D123" s="47">
        <f t="shared" si="40"/>
        <v>2</v>
      </c>
      <c r="E123" s="47">
        <f t="shared" si="41"/>
        <v>0.0036017201969812344</v>
      </c>
      <c r="F123" s="180">
        <f t="shared" si="42"/>
        <v>0.018265821381084235</v>
      </c>
      <c r="G123" s="180">
        <f t="shared" si="43"/>
        <v>0.011894071965029965</v>
      </c>
      <c r="H123" s="48">
        <f t="shared" si="50"/>
        <v>34.0170458199857</v>
      </c>
      <c r="I123" s="46">
        <f t="shared" si="51"/>
        <v>0</v>
      </c>
      <c r="J123" s="45">
        <f t="shared" si="44"/>
        <v>0.07172198770329721</v>
      </c>
      <c r="K123" s="179">
        <f t="shared" si="45"/>
        <v>0.000665920429745726</v>
      </c>
      <c r="L123" s="46">
        <f t="shared" si="46"/>
        <v>0.2924505354088416</v>
      </c>
      <c r="M123" s="46">
        <f t="shared" si="47"/>
        <v>-8.030384822460736</v>
      </c>
      <c r="N123" s="48">
        <f t="shared" si="48"/>
        <v>-4.840317390195986</v>
      </c>
      <c r="Y123" s="244">
        <v>49</v>
      </c>
      <c r="Z123" s="249">
        <f t="shared" si="31"/>
        <v>203.9144000000001</v>
      </c>
      <c r="AA123" s="71">
        <f t="shared" si="38"/>
        <v>3.0800000000000023</v>
      </c>
      <c r="AB123" s="246">
        <f t="shared" si="32"/>
        <v>11.37256540599505</v>
      </c>
      <c r="AC123" s="247">
        <f t="shared" si="33"/>
        <v>0</v>
      </c>
      <c r="AD123" s="247">
        <f t="shared" si="34"/>
        <v>10.801560441333605</v>
      </c>
      <c r="AE123" s="248">
        <f t="shared" si="35"/>
        <v>0</v>
      </c>
      <c r="AF123" s="200">
        <f t="shared" si="36"/>
        <v>0.458585635359116</v>
      </c>
      <c r="AG123" s="200">
        <f t="shared" si="37"/>
        <v>0.474</v>
      </c>
      <c r="AH123" s="152">
        <f t="shared" si="16"/>
        <v>0.5710049646614461</v>
      </c>
      <c r="AI123" s="152">
        <f t="shared" si="17"/>
      </c>
    </row>
    <row r="124" spans="1:35" ht="12">
      <c r="A124" s="171">
        <v>4</v>
      </c>
      <c r="B124" s="46">
        <f t="shared" si="49"/>
        <v>0.9</v>
      </c>
      <c r="C124" s="48">
        <f t="shared" si="39"/>
        <v>57.703750000000014</v>
      </c>
      <c r="D124" s="47">
        <f t="shared" si="40"/>
        <v>4</v>
      </c>
      <c r="E124" s="47">
        <f t="shared" si="41"/>
        <v>0.0036162033381561282</v>
      </c>
      <c r="F124" s="180">
        <f t="shared" si="42"/>
        <v>0.01827359617928459</v>
      </c>
      <c r="G124" s="180">
        <f t="shared" si="43"/>
        <v>0.011969913112324848</v>
      </c>
      <c r="H124" s="48">
        <f t="shared" si="50"/>
        <v>34.23395150124907</v>
      </c>
      <c r="I124" s="46">
        <f t="shared" si="51"/>
        <v>0.6480297254657943</v>
      </c>
      <c r="J124" s="45">
        <f t="shared" si="44"/>
        <v>0.07328179605066973</v>
      </c>
      <c r="K124" s="179">
        <f t="shared" si="45"/>
        <v>0.000705186020614823</v>
      </c>
      <c r="L124" s="46">
        <f t="shared" si="46"/>
        <v>1.9059030529676442</v>
      </c>
      <c r="M124" s="46">
        <f t="shared" si="47"/>
        <v>-7.690306881298348</v>
      </c>
      <c r="N124" s="48">
        <f t="shared" si="48"/>
        <v>-7.208973304205653</v>
      </c>
      <c r="Q124" s="263" t="s">
        <v>185</v>
      </c>
      <c r="R124" s="150">
        <f>-MIN(N121:N141)</f>
        <v>16.10937916665045</v>
      </c>
      <c r="S124" s="151" t="s">
        <v>186</v>
      </c>
      <c r="T124" s="29" t="s">
        <v>277</v>
      </c>
      <c r="Y124" s="244">
        <v>50</v>
      </c>
      <c r="Z124" s="249">
        <f t="shared" si="31"/>
        <v>204.92360000000005</v>
      </c>
      <c r="AA124" s="71">
        <f t="shared" si="38"/>
        <v>3.1400000000000023</v>
      </c>
      <c r="AB124" s="246">
        <f t="shared" si="32"/>
        <v>11.37256540599505</v>
      </c>
      <c r="AC124" s="247">
        <f t="shared" si="33"/>
        <v>0</v>
      </c>
      <c r="AD124" s="247">
        <f t="shared" si="34"/>
        <v>10.85821759077791</v>
      </c>
      <c r="AE124" s="248">
        <f t="shared" si="35"/>
        <v>0</v>
      </c>
      <c r="AF124" s="200">
        <f t="shared" si="36"/>
        <v>0.458585635359116</v>
      </c>
      <c r="AG124" s="200">
        <f t="shared" si="37"/>
        <v>0.474</v>
      </c>
      <c r="AH124" s="152">
        <f t="shared" si="16"/>
        <v>0.5143478152171408</v>
      </c>
      <c r="AI124" s="152">
        <f t="shared" si="17"/>
      </c>
    </row>
    <row r="125" spans="1:35" ht="12">
      <c r="A125" s="171">
        <v>5</v>
      </c>
      <c r="B125" s="46">
        <f t="shared" si="49"/>
        <v>1.2</v>
      </c>
      <c r="C125" s="48">
        <f t="shared" si="39"/>
        <v>79.9375</v>
      </c>
      <c r="D125" s="47">
        <f t="shared" si="40"/>
        <v>2</v>
      </c>
      <c r="E125" s="47">
        <f t="shared" si="41"/>
        <v>0.0035921341515687847</v>
      </c>
      <c r="F125" s="47">
        <f t="shared" si="42"/>
        <v>0.01803995766037029</v>
      </c>
      <c r="G125" s="47">
        <f t="shared" si="43"/>
        <v>0.011938799254880306</v>
      </c>
      <c r="H125" s="48">
        <f t="shared" si="50"/>
        <v>34.14496586895768</v>
      </c>
      <c r="I125" s="46">
        <f t="shared" si="51"/>
        <v>0.8175464817710126</v>
      </c>
      <c r="J125" s="45">
        <f t="shared" si="44"/>
        <v>0.07469615481736264</v>
      </c>
      <c r="K125" s="181">
        <f t="shared" si="45"/>
        <v>0.0007140797188274617</v>
      </c>
      <c r="L125" s="46">
        <f t="shared" si="46"/>
        <v>3.1063594542898776</v>
      </c>
      <c r="M125" s="46">
        <f t="shared" si="47"/>
        <v>-6.928142602303805</v>
      </c>
      <c r="N125" s="48">
        <f t="shared" si="48"/>
        <v>-9.41229288519178</v>
      </c>
      <c r="Q125" s="268" t="s">
        <v>333</v>
      </c>
      <c r="R125" s="265">
        <f>B7*1000/R124</f>
        <v>372.4538318907515</v>
      </c>
      <c r="T125" s="43" t="s">
        <v>278</v>
      </c>
      <c r="U125" s="43" t="s">
        <v>279</v>
      </c>
      <c r="Y125" s="244">
        <v>51</v>
      </c>
      <c r="Z125" s="249">
        <f t="shared" si="31"/>
        <v>205.76000000000005</v>
      </c>
      <c r="AA125" s="71">
        <f t="shared" si="38"/>
        <v>3.2000000000000024</v>
      </c>
      <c r="AB125" s="246">
        <f t="shared" si="32"/>
        <v>11.37256540599505</v>
      </c>
      <c r="AC125" s="247">
        <f t="shared" si="33"/>
        <v>0</v>
      </c>
      <c r="AD125" s="247">
        <f t="shared" si="34"/>
        <v>10.9052004683111</v>
      </c>
      <c r="AE125" s="248">
        <f t="shared" si="35"/>
        <v>0</v>
      </c>
      <c r="AF125" s="200">
        <f t="shared" si="36"/>
        <v>0.458585635359116</v>
      </c>
      <c r="AG125" s="200">
        <f t="shared" si="37"/>
        <v>0.474</v>
      </c>
      <c r="AH125" s="152">
        <f t="shared" si="16"/>
        <v>0.46736493768394993</v>
      </c>
      <c r="AI125" s="152">
        <f t="shared" si="17"/>
      </c>
    </row>
    <row r="126" spans="1:35" ht="12">
      <c r="A126" s="171">
        <v>6</v>
      </c>
      <c r="B126" s="46">
        <f t="shared" si="49"/>
        <v>1.5</v>
      </c>
      <c r="C126" s="48">
        <f t="shared" si="39"/>
        <v>99.11125000000001</v>
      </c>
      <c r="D126" s="47">
        <f t="shared" si="40"/>
        <v>4</v>
      </c>
      <c r="E126" s="47">
        <f t="shared" si="41"/>
        <v>0.0036403452112954123</v>
      </c>
      <c r="F126" s="180">
        <f t="shared" si="42"/>
        <v>0.018002818030847287</v>
      </c>
      <c r="G126" s="180">
        <f t="shared" si="43"/>
        <v>0.012224527594309165</v>
      </c>
      <c r="H126" s="48">
        <f t="shared" si="50"/>
        <v>34.96214891972422</v>
      </c>
      <c r="I126" s="46">
        <f t="shared" si="51"/>
        <v>0.8755627715610246</v>
      </c>
      <c r="J126" s="45">
        <f t="shared" si="44"/>
        <v>0.08226025511052923</v>
      </c>
      <c r="K126" s="179">
        <f t="shared" si="45"/>
        <v>0.0008736551144042375</v>
      </c>
      <c r="L126" s="46">
        <f t="shared" si="46"/>
        <v>3.3382558292265947</v>
      </c>
      <c r="M126" s="46">
        <f t="shared" si="47"/>
        <v>-5.960838773290116</v>
      </c>
      <c r="N126" s="48">
        <f t="shared" si="48"/>
        <v>-11.347287583869964</v>
      </c>
      <c r="T126" s="234">
        <f aca="true" t="array" ref="T126">-SUM(D121:D141/60*(1-B121:B141/B7)*C121:C141*B7/H16*((1-I121:I141)/E121:E141+I121:I141/K121:K141))</f>
        <v>-8.048315827738678</v>
      </c>
      <c r="U126" s="234">
        <f>M141</f>
        <v>9.448859077791665</v>
      </c>
      <c r="V126" s="151" t="s">
        <v>212</v>
      </c>
      <c r="Y126" s="244">
        <v>52</v>
      </c>
      <c r="Z126" s="249">
        <f t="shared" si="31"/>
        <v>206.42360000000008</v>
      </c>
      <c r="AA126" s="71">
        <f t="shared" si="38"/>
        <v>3.2600000000000025</v>
      </c>
      <c r="AB126" s="246">
        <f t="shared" si="32"/>
        <v>11.37256540599505</v>
      </c>
      <c r="AC126" s="247">
        <f t="shared" si="33"/>
        <v>0</v>
      </c>
      <c r="AD126" s="247">
        <f t="shared" si="34"/>
        <v>10.942494026716018</v>
      </c>
      <c r="AE126" s="248">
        <f t="shared" si="35"/>
        <v>0</v>
      </c>
      <c r="AF126" s="200">
        <f t="shared" si="36"/>
        <v>0.458585635359116</v>
      </c>
      <c r="AG126" s="200">
        <f t="shared" si="37"/>
        <v>0.474</v>
      </c>
      <c r="AH126" s="152">
        <f t="shared" si="16"/>
        <v>0.43007137927903294</v>
      </c>
      <c r="AI126" s="152">
        <f t="shared" si="17"/>
      </c>
    </row>
    <row r="127" spans="1:35" ht="12">
      <c r="A127" s="171">
        <v>7</v>
      </c>
      <c r="B127" s="46">
        <f t="shared" si="49"/>
        <v>1.8</v>
      </c>
      <c r="C127" s="48">
        <f t="shared" si="39"/>
        <v>115.225</v>
      </c>
      <c r="D127" s="183">
        <f t="shared" si="40"/>
        <v>2</v>
      </c>
      <c r="E127" s="183">
        <f t="shared" si="41"/>
        <v>0.003683195201687601</v>
      </c>
      <c r="F127" s="183">
        <f t="shared" si="42"/>
        <v>0.01806025988682161</v>
      </c>
      <c r="G127" s="183">
        <f t="shared" si="43"/>
        <v>0.012440672229886722</v>
      </c>
      <c r="H127" s="178">
        <f t="shared" si="50"/>
        <v>35.58032257747603</v>
      </c>
      <c r="I127" s="46">
        <f t="shared" si="51"/>
        <v>0.9046487636235593</v>
      </c>
      <c r="J127" s="45">
        <f t="shared" si="44"/>
        <v>0.08711198738842123</v>
      </c>
      <c r="K127" s="179">
        <f t="shared" si="45"/>
        <v>0.000982311141658764</v>
      </c>
      <c r="L127" s="46">
        <f t="shared" si="46"/>
        <v>3.5456907447146038</v>
      </c>
      <c r="M127" s="46">
        <f t="shared" si="47"/>
        <v>-4.927635250712719</v>
      </c>
      <c r="N127" s="48">
        <f t="shared" si="48"/>
        <v>-12.98220617980948</v>
      </c>
      <c r="Y127" s="244">
        <v>53</v>
      </c>
      <c r="Z127" s="249">
        <f t="shared" si="31"/>
        <v>206.91440000000006</v>
      </c>
      <c r="AA127" s="71">
        <f t="shared" si="38"/>
        <v>3.3200000000000025</v>
      </c>
      <c r="AB127" s="246">
        <f t="shared" si="32"/>
        <v>11.37256540599505</v>
      </c>
      <c r="AC127" s="247">
        <f t="shared" si="33"/>
        <v>0</v>
      </c>
      <c r="AD127" s="247">
        <f t="shared" si="34"/>
        <v>10.970086299755117</v>
      </c>
      <c r="AE127" s="248">
        <f t="shared" si="35"/>
        <v>0</v>
      </c>
      <c r="AF127" s="200">
        <f t="shared" si="36"/>
        <v>0.458585635359116</v>
      </c>
      <c r="AG127" s="200">
        <f t="shared" si="37"/>
        <v>0.474</v>
      </c>
      <c r="AH127" s="152">
        <f t="shared" si="16"/>
        <v>0.40247910623993377</v>
      </c>
      <c r="AI127" s="152">
        <f t="shared" si="17"/>
      </c>
    </row>
    <row r="128" spans="1:35" ht="12">
      <c r="A128" s="171">
        <v>8</v>
      </c>
      <c r="B128" s="46">
        <f t="shared" si="49"/>
        <v>2.1</v>
      </c>
      <c r="C128" s="48">
        <f t="shared" si="39"/>
        <v>128.27875</v>
      </c>
      <c r="D128" s="183">
        <f t="shared" si="40"/>
        <v>4</v>
      </c>
      <c r="E128" s="183">
        <f t="shared" si="41"/>
        <v>0.003680170291899109</v>
      </c>
      <c r="F128" s="183">
        <f t="shared" si="42"/>
        <v>0.018025538173957658</v>
      </c>
      <c r="G128" s="183">
        <f t="shared" si="43"/>
        <v>0.012439910188724515</v>
      </c>
      <c r="H128" s="178">
        <f t="shared" si="50"/>
        <v>35.57814313975212</v>
      </c>
      <c r="I128" s="46">
        <f t="shared" si="51"/>
        <v>0.9230768398732718</v>
      </c>
      <c r="J128" s="45">
        <f t="shared" si="44"/>
        <v>0.08817794453531126</v>
      </c>
      <c r="K128" s="179">
        <f t="shared" si="45"/>
        <v>0.0009910042874216578</v>
      </c>
      <c r="L128" s="46">
        <f t="shared" si="46"/>
        <v>3.9704371119527573</v>
      </c>
      <c r="M128" s="46">
        <f t="shared" si="47"/>
        <v>-3.7861356663033137</v>
      </c>
      <c r="N128" s="48">
        <f t="shared" si="48"/>
        <v>-14.290345354229776</v>
      </c>
      <c r="Y128" s="244">
        <v>54</v>
      </c>
      <c r="Z128" s="249">
        <f t="shared" si="31"/>
        <v>207.23240000000004</v>
      </c>
      <c r="AA128" s="71">
        <f t="shared" si="38"/>
        <v>3.3800000000000026</v>
      </c>
      <c r="AB128" s="246">
        <f t="shared" si="32"/>
        <v>11.37256540599505</v>
      </c>
      <c r="AC128" s="247">
        <f t="shared" si="33"/>
        <v>0</v>
      </c>
      <c r="AD128" s="247">
        <f t="shared" si="34"/>
        <v>10.987968421320323</v>
      </c>
      <c r="AE128" s="248">
        <f t="shared" si="35"/>
        <v>0</v>
      </c>
      <c r="AF128" s="200">
        <f t="shared" si="36"/>
        <v>0.458585635359116</v>
      </c>
      <c r="AG128" s="200">
        <f t="shared" si="37"/>
        <v>0.474</v>
      </c>
      <c r="AH128" s="152">
        <f t="shared" si="16"/>
        <v>0.3845969846747277</v>
      </c>
      <c r="AI128" s="152">
        <f t="shared" si="17"/>
      </c>
    </row>
    <row r="129" spans="1:35" ht="12">
      <c r="A129" s="171">
        <v>9</v>
      </c>
      <c r="B129" s="46">
        <f t="shared" si="49"/>
        <v>2.4</v>
      </c>
      <c r="C129" s="48">
        <f t="shared" si="39"/>
        <v>138.27250000000004</v>
      </c>
      <c r="D129" s="183">
        <f t="shared" si="40"/>
        <v>2</v>
      </c>
      <c r="E129" s="183">
        <f t="shared" si="41"/>
        <v>0.003739553020619793</v>
      </c>
      <c r="F129" s="183">
        <f t="shared" si="42"/>
        <v>0.01817430301074241</v>
      </c>
      <c r="G129" s="183">
        <f t="shared" si="43"/>
        <v>0.012709213288035504</v>
      </c>
      <c r="H129" s="178">
        <f t="shared" si="50"/>
        <v>36.34835000378155</v>
      </c>
      <c r="I129" s="46">
        <f t="shared" si="51"/>
        <v>0.9308968614991164</v>
      </c>
      <c r="J129" s="45">
        <f t="shared" si="44"/>
        <v>0.0934142406935988</v>
      </c>
      <c r="K129" s="179">
        <f t="shared" si="45"/>
        <v>0.0011158708940558206</v>
      </c>
      <c r="L129" s="46">
        <f t="shared" si="46"/>
        <v>3.8319672428188576</v>
      </c>
      <c r="M129" s="46">
        <f t="shared" si="47"/>
        <v>-2.6016946071782705</v>
      </c>
      <c r="N129" s="48">
        <f t="shared" si="48"/>
        <v>-15.249593432119905</v>
      </c>
      <c r="Y129" s="244">
        <v>55</v>
      </c>
      <c r="Z129" s="249">
        <f t="shared" si="31"/>
        <v>207.37760000000003</v>
      </c>
      <c r="AA129" s="71">
        <f t="shared" si="38"/>
        <v>3.4400000000000026</v>
      </c>
      <c r="AB129" s="246">
        <f t="shared" si="32"/>
        <v>11.37256540599505</v>
      </c>
      <c r="AC129" s="247">
        <f t="shared" si="33"/>
        <v>0</v>
      </c>
      <c r="AD129" s="247">
        <f t="shared" si="34"/>
        <v>10.996134639655558</v>
      </c>
      <c r="AE129" s="248">
        <f t="shared" si="35"/>
        <v>0</v>
      </c>
      <c r="AF129" s="200">
        <f t="shared" si="36"/>
        <v>0.458585635359116</v>
      </c>
      <c r="AG129" s="200">
        <f t="shared" si="37"/>
        <v>0.474</v>
      </c>
      <c r="AH129" s="152">
        <f t="shared" si="16"/>
        <v>0.37643076633949235</v>
      </c>
      <c r="AI129" s="152">
        <f t="shared" si="17"/>
      </c>
    </row>
    <row r="130" spans="1:35" ht="12">
      <c r="A130" s="171">
        <v>10</v>
      </c>
      <c r="B130" s="46">
        <f t="shared" si="49"/>
        <v>2.7</v>
      </c>
      <c r="C130" s="48">
        <f t="shared" si="39"/>
        <v>145.20625</v>
      </c>
      <c r="D130" s="183">
        <f t="shared" si="40"/>
        <v>4</v>
      </c>
      <c r="E130" s="183">
        <f t="shared" si="41"/>
        <v>0.003755318278488888</v>
      </c>
      <c r="F130" s="183">
        <f t="shared" si="42"/>
        <v>0.018213410994903464</v>
      </c>
      <c r="G130" s="183">
        <f t="shared" si="43"/>
        <v>0.012781200915609981</v>
      </c>
      <c r="H130" s="178">
        <f t="shared" si="50"/>
        <v>36.55423461864455</v>
      </c>
      <c r="I130" s="46">
        <f t="shared" si="51"/>
        <v>0.936626926479722</v>
      </c>
      <c r="J130" s="45">
        <f t="shared" si="44"/>
        <v>0.09477679505914188</v>
      </c>
      <c r="K130" s="179">
        <f t="shared" si="45"/>
        <v>0.0011486923541385234</v>
      </c>
      <c r="L130" s="46">
        <f t="shared" si="46"/>
        <v>3.92760829339404</v>
      </c>
      <c r="M130" s="46">
        <f t="shared" si="47"/>
        <v>-1.4382246508400023</v>
      </c>
      <c r="N130" s="48">
        <f t="shared" si="48"/>
        <v>-15.856368584816012</v>
      </c>
      <c r="Y130" s="244">
        <v>56</v>
      </c>
      <c r="Z130" s="249">
        <f t="shared" si="31"/>
        <v>207.35</v>
      </c>
      <c r="AA130" s="71">
        <f t="shared" si="38"/>
        <v>3.5000000000000027</v>
      </c>
      <c r="AB130" s="246">
        <f t="shared" si="32"/>
        <v>11.37256540599505</v>
      </c>
      <c r="AC130" s="247">
        <f t="shared" si="33"/>
        <v>0</v>
      </c>
      <c r="AD130" s="247">
        <f t="shared" si="34"/>
        <v>10.994582326598827</v>
      </c>
      <c r="AE130" s="248">
        <f t="shared" si="35"/>
        <v>0</v>
      </c>
      <c r="AF130" s="200">
        <f t="shared" si="36"/>
        <v>0.458585635359116</v>
      </c>
      <c r="AG130" s="200">
        <f t="shared" si="37"/>
        <v>0.474</v>
      </c>
      <c r="AH130" s="152">
        <f t="shared" si="16"/>
        <v>0.37798307939622333</v>
      </c>
      <c r="AI130" s="152">
        <f t="shared" si="17"/>
      </c>
    </row>
    <row r="131" spans="1:35" ht="12">
      <c r="A131" s="171">
        <v>11</v>
      </c>
      <c r="B131" s="46">
        <f t="shared" si="49"/>
        <v>3</v>
      </c>
      <c r="C131" s="48">
        <f t="shared" si="39"/>
        <v>149.08000000000004</v>
      </c>
      <c r="D131" s="183">
        <f t="shared" si="40"/>
        <v>2</v>
      </c>
      <c r="E131" s="183">
        <f t="shared" si="41"/>
        <v>0.003755318278488888</v>
      </c>
      <c r="F131" s="183">
        <f t="shared" si="42"/>
        <v>0.018213410994903464</v>
      </c>
      <c r="G131" s="183">
        <f t="shared" si="43"/>
        <v>0.012781200915609981</v>
      </c>
      <c r="H131" s="178">
        <f t="shared" si="50"/>
        <v>36.55423461864455</v>
      </c>
      <c r="I131" s="46">
        <f t="shared" si="51"/>
        <v>0.9398775566541189</v>
      </c>
      <c r="J131" s="45">
        <f t="shared" si="44"/>
        <v>0.09477679505914188</v>
      </c>
      <c r="K131" s="179">
        <f t="shared" si="45"/>
        <v>0.0011486923541385234</v>
      </c>
      <c r="L131" s="46">
        <f t="shared" si="46"/>
        <v>4.041904307716004</v>
      </c>
      <c r="M131" s="46">
        <f t="shared" si="47"/>
        <v>-0.24326413476716624</v>
      </c>
      <c r="N131" s="48">
        <f t="shared" si="48"/>
        <v>-16.10937916665045</v>
      </c>
      <c r="Y131" s="244">
        <v>57</v>
      </c>
      <c r="Z131" s="249">
        <f t="shared" si="31"/>
        <v>207.14960000000002</v>
      </c>
      <c r="AA131" s="71">
        <f t="shared" si="38"/>
        <v>3.5600000000000027</v>
      </c>
      <c r="AB131" s="246">
        <f t="shared" si="32"/>
        <v>11.37256540599505</v>
      </c>
      <c r="AC131" s="247">
        <f t="shared" si="33"/>
        <v>0</v>
      </c>
      <c r="AD131" s="247">
        <f t="shared" si="34"/>
        <v>10.983311981809312</v>
      </c>
      <c r="AE131" s="248">
        <f t="shared" si="35"/>
        <v>0</v>
      </c>
      <c r="AF131" s="200">
        <f t="shared" si="36"/>
        <v>0.458585635359116</v>
      </c>
      <c r="AG131" s="200">
        <f t="shared" si="37"/>
        <v>0.474</v>
      </c>
      <c r="AH131" s="152">
        <f t="shared" si="16"/>
        <v>0.38925342418573905</v>
      </c>
      <c r="AI131" s="152">
        <f t="shared" si="17"/>
      </c>
    </row>
    <row r="132" spans="1:35" ht="12">
      <c r="A132" s="171">
        <v>12</v>
      </c>
      <c r="B132" s="46">
        <f t="shared" si="49"/>
        <v>3.3</v>
      </c>
      <c r="C132" s="48">
        <f t="shared" si="39"/>
        <v>149.89375</v>
      </c>
      <c r="D132" s="183">
        <f t="shared" si="40"/>
        <v>4</v>
      </c>
      <c r="E132" s="183">
        <f t="shared" si="41"/>
        <v>0.003755318278488888</v>
      </c>
      <c r="F132" s="183">
        <f t="shared" si="42"/>
        <v>0.018213410994903464</v>
      </c>
      <c r="G132" s="183">
        <f t="shared" si="43"/>
        <v>0.012781200915609981</v>
      </c>
      <c r="H132" s="178">
        <f t="shared" si="50"/>
        <v>36.55423461864455</v>
      </c>
      <c r="I132" s="46">
        <f t="shared" si="51"/>
        <v>0.9405285756075202</v>
      </c>
      <c r="J132" s="45">
        <f t="shared" si="44"/>
        <v>0.09477679505914188</v>
      </c>
      <c r="K132" s="179">
        <f t="shared" si="45"/>
        <v>0.0011486923541385234</v>
      </c>
      <c r="L132" s="46">
        <f t="shared" si="46"/>
        <v>4.065883367568939</v>
      </c>
      <c r="M132" s="46">
        <f t="shared" si="47"/>
        <v>0.9751589089664385</v>
      </c>
      <c r="N132" s="48">
        <f t="shared" si="48"/>
        <v>-15.999436559603325</v>
      </c>
      <c r="Y132" s="244">
        <v>58</v>
      </c>
      <c r="Z132" s="249">
        <f t="shared" si="31"/>
        <v>206.7764</v>
      </c>
      <c r="AA132" s="71">
        <f t="shared" si="38"/>
        <v>3.6200000000000028</v>
      </c>
      <c r="AB132" s="246">
        <f t="shared" si="32"/>
        <v>11.37256540599505</v>
      </c>
      <c r="AC132" s="247">
        <f t="shared" si="33"/>
        <v>0</v>
      </c>
      <c r="AD132" s="247">
        <f t="shared" si="34"/>
        <v>10.962327231963506</v>
      </c>
      <c r="AE132" s="248">
        <f t="shared" si="35"/>
        <v>0</v>
      </c>
      <c r="AF132" s="200">
        <f t="shared" si="36"/>
        <v>0.458585635359116</v>
      </c>
      <c r="AG132" s="200">
        <f t="shared" si="37"/>
        <v>0.474</v>
      </c>
      <c r="AH132" s="152">
        <f t="shared" si="16"/>
        <v>0.4102381740315444</v>
      </c>
      <c r="AI132" s="152">
        <f t="shared" si="17"/>
      </c>
    </row>
    <row r="133" spans="1:35" ht="12">
      <c r="A133" s="171">
        <v>13</v>
      </c>
      <c r="B133" s="46">
        <f t="shared" si="49"/>
        <v>3.6</v>
      </c>
      <c r="C133" s="48">
        <f t="shared" si="39"/>
        <v>147.6475</v>
      </c>
      <c r="D133" s="183">
        <f t="shared" si="40"/>
        <v>2</v>
      </c>
      <c r="E133" s="183">
        <f t="shared" si="41"/>
        <v>0.003755318278488888</v>
      </c>
      <c r="F133" s="183">
        <f t="shared" si="42"/>
        <v>0.018213410994903464</v>
      </c>
      <c r="G133" s="183">
        <f t="shared" si="43"/>
        <v>0.012781200915609981</v>
      </c>
      <c r="H133" s="178">
        <f t="shared" si="50"/>
        <v>36.55423461864455</v>
      </c>
      <c r="I133" s="46">
        <f t="shared" si="51"/>
        <v>0.9387052618113952</v>
      </c>
      <c r="J133" s="45">
        <f t="shared" si="44"/>
        <v>0.09477679505914188</v>
      </c>
      <c r="K133" s="179">
        <f t="shared" si="45"/>
        <v>0.0011486923541385234</v>
      </c>
      <c r="L133" s="46">
        <f t="shared" si="46"/>
        <v>3.9996667297873665</v>
      </c>
      <c r="M133" s="46">
        <f t="shared" si="47"/>
        <v>2.1872463160107447</v>
      </c>
      <c r="N133" s="48">
        <f t="shared" si="48"/>
        <v>-15.52491738493952</v>
      </c>
      <c r="Y133" s="244">
        <v>59</v>
      </c>
      <c r="Z133" s="249">
        <f t="shared" si="31"/>
        <v>206.23039999999997</v>
      </c>
      <c r="AA133" s="71">
        <f t="shared" si="38"/>
        <v>3.680000000000003</v>
      </c>
      <c r="AB133" s="246">
        <f t="shared" si="32"/>
        <v>11.37256540599505</v>
      </c>
      <c r="AC133" s="247">
        <f t="shared" si="33"/>
        <v>0</v>
      </c>
      <c r="AD133" s="247">
        <f t="shared" si="34"/>
        <v>10.931634824923528</v>
      </c>
      <c r="AE133" s="248">
        <f t="shared" si="35"/>
        <v>0</v>
      </c>
      <c r="AF133" s="200">
        <f t="shared" si="36"/>
        <v>0.458585635359116</v>
      </c>
      <c r="AG133" s="200">
        <f t="shared" si="37"/>
        <v>0.474</v>
      </c>
      <c r="AH133" s="152">
        <f t="shared" si="16"/>
        <v>0.44093058107152316</v>
      </c>
      <c r="AI133" s="152">
        <f t="shared" si="17"/>
      </c>
    </row>
    <row r="134" spans="1:35" ht="12">
      <c r="A134" s="171">
        <v>14</v>
      </c>
      <c r="B134" s="46">
        <f t="shared" si="49"/>
        <v>3.9</v>
      </c>
      <c r="C134" s="48">
        <f t="shared" si="39"/>
        <v>142.34125</v>
      </c>
      <c r="D134" s="183">
        <f t="shared" si="40"/>
        <v>4</v>
      </c>
      <c r="E134" s="183">
        <f t="shared" si="41"/>
        <v>0.003755318278488888</v>
      </c>
      <c r="F134" s="183">
        <f t="shared" si="42"/>
        <v>0.018213410994903464</v>
      </c>
      <c r="G134" s="183">
        <f t="shared" si="43"/>
        <v>0.012781200915609981</v>
      </c>
      <c r="H134" s="178">
        <f t="shared" si="50"/>
        <v>36.55423461864455</v>
      </c>
      <c r="I134" s="46">
        <f t="shared" si="51"/>
        <v>0.9340501458798207</v>
      </c>
      <c r="J134" s="45">
        <f t="shared" si="44"/>
        <v>0.09477679505914188</v>
      </c>
      <c r="K134" s="179">
        <f t="shared" si="45"/>
        <v>0.0011486923541385234</v>
      </c>
      <c r="L134" s="46">
        <f t="shared" si="46"/>
        <v>3.8429112932685645</v>
      </c>
      <c r="M134" s="46">
        <f t="shared" si="47"/>
        <v>3.3597204512618806</v>
      </c>
      <c r="N134" s="48">
        <f t="shared" si="48"/>
        <v>-14.692283589305822</v>
      </c>
      <c r="Y134" s="244">
        <v>60</v>
      </c>
      <c r="Z134" s="249">
        <f t="shared" si="31"/>
        <v>205.51160000000002</v>
      </c>
      <c r="AA134" s="71">
        <f t="shared" si="38"/>
        <v>3.740000000000003</v>
      </c>
      <c r="AB134" s="246">
        <f t="shared" si="32"/>
        <v>11.37256540599505</v>
      </c>
      <c r="AC134" s="247">
        <f t="shared" si="33"/>
        <v>0</v>
      </c>
      <c r="AD134" s="247">
        <f t="shared" si="34"/>
        <v>10.891244618899377</v>
      </c>
      <c r="AE134" s="248">
        <f t="shared" si="35"/>
        <v>0</v>
      </c>
      <c r="AF134" s="200">
        <f t="shared" si="36"/>
        <v>0.458585635359116</v>
      </c>
      <c r="AG134" s="200">
        <f t="shared" si="37"/>
        <v>0.474</v>
      </c>
      <c r="AH134" s="152">
        <f t="shared" si="16"/>
        <v>0.48132078709567416</v>
      </c>
      <c r="AI134" s="152">
        <f t="shared" si="17"/>
      </c>
    </row>
    <row r="135" spans="1:35" ht="12">
      <c r="A135" s="171">
        <v>15</v>
      </c>
      <c r="B135" s="46">
        <f t="shared" si="49"/>
        <v>4.2</v>
      </c>
      <c r="C135" s="48">
        <f t="shared" si="39"/>
        <v>133.97500000000005</v>
      </c>
      <c r="D135" s="183">
        <f t="shared" si="40"/>
        <v>2</v>
      </c>
      <c r="E135" s="183">
        <f t="shared" si="41"/>
        <v>0.0037198417431475745</v>
      </c>
      <c r="F135" s="183">
        <f t="shared" si="42"/>
        <v>0.01812517915685083</v>
      </c>
      <c r="G135" s="183">
        <f t="shared" si="43"/>
        <v>0.01261949845068364</v>
      </c>
      <c r="H135" s="178">
        <f t="shared" si="50"/>
        <v>36.09176556895521</v>
      </c>
      <c r="I135" s="46">
        <f t="shared" si="51"/>
        <v>0.9274280614549337</v>
      </c>
      <c r="J135" s="45">
        <f t="shared" si="44"/>
        <v>0.09169464018452131</v>
      </c>
      <c r="K135" s="179">
        <f t="shared" si="45"/>
        <v>0.0010746424474798602</v>
      </c>
      <c r="L135" s="46">
        <f t="shared" si="46"/>
        <v>3.8426585850398047</v>
      </c>
      <c r="M135" s="46">
        <f t="shared" si="47"/>
        <v>4.5086433648008875</v>
      </c>
      <c r="N135" s="48">
        <f t="shared" si="48"/>
        <v>-13.511440236353605</v>
      </c>
      <c r="Y135" s="244">
        <v>61</v>
      </c>
      <c r="Z135" s="249">
        <f t="shared" si="31"/>
        <v>204.61999999999998</v>
      </c>
      <c r="AA135" s="71">
        <f t="shared" si="38"/>
        <v>3.800000000000003</v>
      </c>
      <c r="AB135" s="246">
        <f t="shared" si="32"/>
        <v>11.37256540599505</v>
      </c>
      <c r="AC135" s="247">
        <f t="shared" si="33"/>
        <v>0</v>
      </c>
      <c r="AD135" s="247">
        <f t="shared" si="34"/>
        <v>10.841169566645746</v>
      </c>
      <c r="AE135" s="248">
        <f t="shared" si="35"/>
        <v>0</v>
      </c>
      <c r="AF135" s="200">
        <f t="shared" si="36"/>
        <v>0.458585635359116</v>
      </c>
      <c r="AG135" s="200">
        <f t="shared" si="37"/>
        <v>0.474</v>
      </c>
      <c r="AH135" s="152">
        <f t="shared" si="16"/>
        <v>0.5313958393493046</v>
      </c>
      <c r="AI135" s="152">
        <f t="shared" si="17"/>
      </c>
    </row>
    <row r="136" spans="1:35" ht="12">
      <c r="A136" s="171">
        <v>16</v>
      </c>
      <c r="B136" s="46">
        <f t="shared" si="49"/>
        <v>4.5</v>
      </c>
      <c r="C136" s="48">
        <f t="shared" si="39"/>
        <v>122.54875000000001</v>
      </c>
      <c r="D136" s="47">
        <f t="shared" si="40"/>
        <v>4</v>
      </c>
      <c r="E136" s="47">
        <f t="shared" si="41"/>
        <v>0.003683195201687601</v>
      </c>
      <c r="F136" s="180">
        <f t="shared" si="42"/>
        <v>0.01806025988682161</v>
      </c>
      <c r="G136" s="180">
        <f t="shared" si="43"/>
        <v>0.012440672229886722</v>
      </c>
      <c r="H136" s="48">
        <f t="shared" si="50"/>
        <v>35.58032257747603</v>
      </c>
      <c r="I136" s="46">
        <f t="shared" si="51"/>
        <v>0.9157049658927969</v>
      </c>
      <c r="J136" s="45">
        <f t="shared" si="44"/>
        <v>0.08711198738842123</v>
      </c>
      <c r="K136" s="179">
        <f t="shared" si="45"/>
        <v>0.000982311141658764</v>
      </c>
      <c r="L136" s="46">
        <f t="shared" si="46"/>
        <v>3.803928676407325</v>
      </c>
      <c r="M136" s="46">
        <f t="shared" si="47"/>
        <v>5.6670541254826325</v>
      </c>
      <c r="N136" s="48">
        <f t="shared" si="48"/>
        <v>-11.983081737776633</v>
      </c>
      <c r="Y136" s="244">
        <v>62</v>
      </c>
      <c r="Z136" s="249">
        <f t="shared" si="31"/>
        <v>203.55559999999997</v>
      </c>
      <c r="AA136" s="71">
        <f t="shared" si="38"/>
        <v>3.860000000000003</v>
      </c>
      <c r="AB136" s="246">
        <f t="shared" si="32"/>
        <v>11.37256540599505</v>
      </c>
      <c r="AC136" s="247">
        <f t="shared" si="33"/>
        <v>0</v>
      </c>
      <c r="AD136" s="247">
        <f t="shared" si="34"/>
        <v>10.781425694752391</v>
      </c>
      <c r="AE136" s="248">
        <f t="shared" si="35"/>
        <v>0</v>
      </c>
      <c r="AF136" s="200">
        <f t="shared" si="36"/>
        <v>0.458585635359116</v>
      </c>
      <c r="AG136" s="200">
        <f t="shared" si="37"/>
        <v>0.474</v>
      </c>
      <c r="AH136" s="152">
        <f t="shared" si="16"/>
        <v>0.5911397112426595</v>
      </c>
      <c r="AI136" s="152">
        <f t="shared" si="17"/>
      </c>
    </row>
    <row r="137" spans="1:35" ht="12">
      <c r="A137" s="171">
        <v>17</v>
      </c>
      <c r="B137" s="46">
        <f t="shared" si="49"/>
        <v>4.8</v>
      </c>
      <c r="C137" s="48">
        <f t="shared" si="39"/>
        <v>108.06249999999997</v>
      </c>
      <c r="D137" s="47">
        <f t="shared" si="40"/>
        <v>2</v>
      </c>
      <c r="E137" s="47">
        <f t="shared" si="41"/>
        <v>0.003680751632835392</v>
      </c>
      <c r="F137" s="180">
        <f t="shared" si="42"/>
        <v>0.018053936358234133</v>
      </c>
      <c r="G137" s="180">
        <f t="shared" si="43"/>
        <v>0.012429735150906738</v>
      </c>
      <c r="H137" s="48">
        <f t="shared" si="50"/>
        <v>35.54904253159327</v>
      </c>
      <c r="I137" s="46">
        <f t="shared" si="51"/>
        <v>0.8917804322688639</v>
      </c>
      <c r="J137" s="45">
        <f t="shared" si="44"/>
        <v>0.08689894908422799</v>
      </c>
      <c r="K137" s="179">
        <f t="shared" si="45"/>
        <v>0.0009772007883160896</v>
      </c>
      <c r="L137" s="46">
        <f t="shared" si="46"/>
        <v>3.30829190918783</v>
      </c>
      <c r="M137" s="46">
        <f t="shared" si="47"/>
        <v>6.745309884786579</v>
      </c>
      <c r="N137" s="48">
        <f t="shared" si="48"/>
        <v>-10.119223261201805</v>
      </c>
      <c r="Y137" s="244">
        <v>63</v>
      </c>
      <c r="Z137" s="249">
        <f t="shared" si="31"/>
        <v>202.31839999999994</v>
      </c>
      <c r="AA137" s="71">
        <f t="shared" si="38"/>
        <v>3.920000000000003</v>
      </c>
      <c r="AB137" s="246">
        <f t="shared" si="32"/>
        <v>11.37256540599505</v>
      </c>
      <c r="AC137" s="247">
        <f t="shared" si="33"/>
        <v>0</v>
      </c>
      <c r="AD137" s="247">
        <f t="shared" si="34"/>
        <v>10.712032078105018</v>
      </c>
      <c r="AE137" s="248">
        <f t="shared" si="35"/>
        <v>0</v>
      </c>
      <c r="AF137" s="200">
        <f t="shared" si="36"/>
        <v>0.458585635359116</v>
      </c>
      <c r="AG137" s="200">
        <f t="shared" si="37"/>
        <v>0.474</v>
      </c>
      <c r="AH137" s="152">
        <f t="shared" si="16"/>
        <v>0.6605333278900325</v>
      </c>
      <c r="AI137" s="152">
        <f t="shared" si="17"/>
      </c>
    </row>
    <row r="138" spans="1:35" ht="12">
      <c r="A138" s="171">
        <v>18</v>
      </c>
      <c r="B138" s="46">
        <f t="shared" si="49"/>
        <v>5.1</v>
      </c>
      <c r="C138" s="48">
        <f t="shared" si="39"/>
        <v>90.51625000000004</v>
      </c>
      <c r="D138" s="47">
        <f t="shared" si="40"/>
        <v>4</v>
      </c>
      <c r="E138" s="47">
        <f t="shared" si="41"/>
        <v>0.0036062375211382064</v>
      </c>
      <c r="F138" s="180">
        <f t="shared" si="42"/>
        <v>0.017859184561747184</v>
      </c>
      <c r="G138" s="180">
        <f t="shared" si="43"/>
        <v>0.012098472555435384</v>
      </c>
      <c r="H138" s="48">
        <f t="shared" si="50"/>
        <v>34.601631508545196</v>
      </c>
      <c r="I138" s="46">
        <f t="shared" si="51"/>
        <v>0.8538697769973775</v>
      </c>
      <c r="J138" s="45">
        <f t="shared" si="44"/>
        <v>0.08026375624225444</v>
      </c>
      <c r="K138" s="179">
        <f t="shared" si="45"/>
        <v>0.0008197681020969788</v>
      </c>
      <c r="L138" s="46">
        <f t="shared" si="46"/>
        <v>3.183358980251916</v>
      </c>
      <c r="M138" s="46">
        <f t="shared" si="47"/>
        <v>7.729841927970012</v>
      </c>
      <c r="N138" s="48">
        <f t="shared" si="48"/>
        <v>-7.945395830856176</v>
      </c>
      <c r="Y138" s="244">
        <v>64</v>
      </c>
      <c r="Z138" s="249">
        <f t="shared" si="31"/>
        <v>200.90839999999994</v>
      </c>
      <c r="AA138" s="71">
        <f t="shared" si="38"/>
        <v>3.980000000000003</v>
      </c>
      <c r="AB138" s="246">
        <f t="shared" si="32"/>
        <v>11.37256540599505</v>
      </c>
      <c r="AC138" s="247">
        <f t="shared" si="33"/>
        <v>0</v>
      </c>
      <c r="AD138" s="247">
        <f t="shared" si="34"/>
        <v>10.633010809611324</v>
      </c>
      <c r="AE138" s="248">
        <f t="shared" si="35"/>
        <v>0</v>
      </c>
      <c r="AF138" s="200">
        <f t="shared" si="36"/>
        <v>0.458585635359116</v>
      </c>
      <c r="AG138" s="200">
        <f t="shared" si="37"/>
        <v>0.474</v>
      </c>
      <c r="AH138" s="152">
        <f t="shared" si="16"/>
        <v>0.7395545963837264</v>
      </c>
      <c r="AI138" s="152">
        <f t="shared" si="17"/>
      </c>
    </row>
    <row r="139" spans="1:35" ht="12">
      <c r="A139" s="171">
        <v>19</v>
      </c>
      <c r="B139" s="46">
        <f t="shared" si="49"/>
        <v>5.4</v>
      </c>
      <c r="C139" s="48">
        <f t="shared" si="39"/>
        <v>69.90999999999998</v>
      </c>
      <c r="D139" s="47">
        <f t="shared" si="40"/>
        <v>2</v>
      </c>
      <c r="E139" s="47">
        <f t="shared" si="41"/>
        <v>0.0035545802039414045</v>
      </c>
      <c r="F139" s="180">
        <f t="shared" si="42"/>
        <v>0.017734386483646954</v>
      </c>
      <c r="G139" s="180">
        <f t="shared" si="43"/>
        <v>0.011865780299509325</v>
      </c>
      <c r="H139" s="48">
        <f t="shared" si="50"/>
        <v>33.93613165659667</v>
      </c>
      <c r="I139" s="46">
        <f t="shared" si="51"/>
        <v>0.7643615985712624</v>
      </c>
      <c r="J139" s="45">
        <f t="shared" si="44"/>
        <v>0.07483193340863267</v>
      </c>
      <c r="K139" s="179">
        <f t="shared" si="45"/>
        <v>0.0007012863576391968</v>
      </c>
      <c r="L139" s="46">
        <f t="shared" si="46"/>
        <v>2.6270496606171347</v>
      </c>
      <c r="M139" s="46">
        <f t="shared" si="47"/>
        <v>8.612187633867846</v>
      </c>
      <c r="N139" s="48">
        <f t="shared" si="48"/>
        <v>-5.4915367381483575</v>
      </c>
      <c r="Y139" s="244">
        <v>65</v>
      </c>
      <c r="Z139" s="249">
        <f aca="true" t="shared" si="52" ref="Z139:Z170">C$22*(1-AA139/B$17)+C$23*(AA139/B$17)+C$21*AA139*(B$17-AA139)/2</f>
        <v>199.32559999999995</v>
      </c>
      <c r="AA139" s="71">
        <f t="shared" si="38"/>
        <v>4.040000000000003</v>
      </c>
      <c r="AB139" s="246">
        <f aca="true" t="shared" si="53" ref="AB139:AB170">fAs3(AA139,B$15,B$26:D$26,B$27:D$27,B$28:D$28,L$18,L$15,H$14)</f>
        <v>11.37256540599505</v>
      </c>
      <c r="AC139" s="247">
        <f aca="true" t="shared" si="54" ref="AC139:AC175">-fAsg(AA139,B$15,L$14,E$26:G$26,E$28:G$28,L$18,L$15,H$15)-fAsd(AA139,B$15,L$14,B$7,H$26:J$26,H$28:J$28,L$18,L$15,H$15)</f>
        <v>0</v>
      </c>
      <c r="AD139" s="247">
        <f aca="true" t="shared" si="55" ref="AD139:AD175">IF(Z139&gt;=0,facier(Z139,B$8,B$9,B$10,B$11,L$14,L$14,H$10,H$11,L$15,L$16,L$17),0)*L$14/AF139</f>
        <v>10.544386965303527</v>
      </c>
      <c r="AE139" s="248">
        <f aca="true" t="shared" si="56" ref="AE139:AE175">IF(Z139&lt;0,-facier(Z139,B$8,B$9,B$10,B$11,C$21,L$14,H$10,H$11,L$15,L$16,L$17),0)*L$14/AG139</f>
        <v>0</v>
      </c>
      <c r="AF139" s="200">
        <f aca="true" t="shared" si="57" ref="AF139:AF175">futil(AA139,B$7,B$9,L$11,AB139,ABS(AC139),L$12,L$13,tabac,1)</f>
        <v>0.458585635359116</v>
      </c>
      <c r="AG139" s="200">
        <f aca="true" t="shared" si="58" ref="AG139:AG175">futil(AA139,B$7,B$9,L$11,AB139,ABS(AC139),L$12,L$13,tabac,2)</f>
        <v>0.474</v>
      </c>
      <c r="AH139" s="152">
        <f t="shared" si="16"/>
        <v>0.8281784406915236</v>
      </c>
      <c r="AI139" s="152">
        <f t="shared" si="17"/>
      </c>
    </row>
    <row r="140" spans="1:35" ht="12">
      <c r="A140" s="171">
        <v>20</v>
      </c>
      <c r="B140" s="46">
        <f t="shared" si="49"/>
        <v>5.7</v>
      </c>
      <c r="C140" s="48">
        <f t="shared" si="39"/>
        <v>46.243750000000084</v>
      </c>
      <c r="D140" s="47">
        <f t="shared" si="40"/>
        <v>4</v>
      </c>
      <c r="E140" s="47">
        <f t="shared" si="41"/>
        <v>0.003521512117484753</v>
      </c>
      <c r="F140" s="180">
        <f t="shared" si="42"/>
        <v>0.017688349883308953</v>
      </c>
      <c r="G140" s="180">
        <f t="shared" si="43"/>
        <v>0.01170273987101541</v>
      </c>
      <c r="H140" s="48">
        <f t="shared" si="50"/>
        <v>33.46983603110407</v>
      </c>
      <c r="I140" s="46">
        <f t="shared" si="51"/>
        <v>0.47615707807714314</v>
      </c>
      <c r="J140" s="45">
        <f t="shared" si="44"/>
        <v>0.0708831049831807</v>
      </c>
      <c r="K140" s="179">
        <f t="shared" si="45"/>
        <v>0.0006143902218661371</v>
      </c>
      <c r="L140" s="46">
        <f t="shared" si="46"/>
        <v>1.3883431515884848</v>
      </c>
      <c r="M140" s="46">
        <f t="shared" si="47"/>
        <v>9.213580167456003</v>
      </c>
      <c r="N140" s="48">
        <f t="shared" si="48"/>
        <v>-2.8085187273684675</v>
      </c>
      <c r="Y140" s="244">
        <v>66</v>
      </c>
      <c r="Z140" s="249">
        <f t="shared" si="52"/>
        <v>197.57</v>
      </c>
      <c r="AA140" s="71">
        <f aca="true" t="shared" si="59" ref="AA140:AA175">AA139+B$7/Y$74</f>
        <v>4.100000000000002</v>
      </c>
      <c r="AB140" s="246">
        <f t="shared" si="53"/>
        <v>11.37256540599505</v>
      </c>
      <c r="AC140" s="247">
        <f t="shared" si="54"/>
        <v>0</v>
      </c>
      <c r="AD140" s="247">
        <f t="shared" si="55"/>
        <v>10.446188564945029</v>
      </c>
      <c r="AE140" s="248">
        <f t="shared" si="56"/>
        <v>0</v>
      </c>
      <c r="AF140" s="200">
        <f t="shared" si="57"/>
        <v>0.458585635359116</v>
      </c>
      <c r="AG140" s="200">
        <f t="shared" si="58"/>
        <v>0.474</v>
      </c>
      <c r="AH140" s="152">
        <f aca="true" t="shared" si="60" ref="AH140:AH174">IF(AB140=0,"",AB140-AD140)</f>
        <v>0.9263768410500219</v>
      </c>
      <c r="AI140" s="152">
        <f aca="true" t="shared" si="61" ref="AI140:AI175">IF(Z140&lt;0,AC140-AE140,"")</f>
      </c>
    </row>
    <row r="141" spans="1:35" ht="12">
      <c r="A141" s="171">
        <v>21</v>
      </c>
      <c r="B141" s="184">
        <f t="shared" si="49"/>
        <v>6</v>
      </c>
      <c r="C141" s="185">
        <f t="shared" si="39"/>
        <v>19.51750000000002</v>
      </c>
      <c r="D141" s="49">
        <f t="shared" si="40"/>
        <v>1</v>
      </c>
      <c r="E141" s="49">
        <f t="shared" si="41"/>
        <v>0.0034049672741501263</v>
      </c>
      <c r="F141" s="187">
        <f t="shared" si="42"/>
        <v>0.0174960503768342</v>
      </c>
      <c r="G141" s="187">
        <f t="shared" si="43"/>
        <v>0.011149697404725857</v>
      </c>
      <c r="H141" s="185">
        <f t="shared" si="50"/>
        <v>31.888134577515956</v>
      </c>
      <c r="I141" s="184">
        <f t="shared" si="51"/>
        <v>0</v>
      </c>
      <c r="J141" s="255">
        <f t="shared" si="44"/>
        <v>0.05696102778282256</v>
      </c>
      <c r="K141" s="188">
        <f t="shared" si="45"/>
        <v>0.00030944131737357787</v>
      </c>
      <c r="L141" s="184">
        <f t="shared" si="46"/>
        <v>0.18629217226715503</v>
      </c>
      <c r="M141" s="184">
        <f t="shared" si="47"/>
        <v>9.448859077791665</v>
      </c>
      <c r="N141" s="185">
        <f t="shared" si="48"/>
        <v>-5.151434834260726E-15</v>
      </c>
      <c r="Y141" s="244">
        <v>67</v>
      </c>
      <c r="Z141" s="249">
        <f t="shared" si="52"/>
        <v>195.64159999999998</v>
      </c>
      <c r="AA141" s="71">
        <f t="shared" si="59"/>
        <v>4.160000000000002</v>
      </c>
      <c r="AB141" s="246">
        <f t="shared" si="53"/>
        <v>11.37256540599505</v>
      </c>
      <c r="AC141" s="247">
        <f t="shared" si="54"/>
        <v>0</v>
      </c>
      <c r="AD141" s="247">
        <f t="shared" si="55"/>
        <v>10.338446528284116</v>
      </c>
      <c r="AE141" s="248">
        <f t="shared" si="56"/>
        <v>0</v>
      </c>
      <c r="AF141" s="200">
        <f t="shared" si="57"/>
        <v>0.458585635359116</v>
      </c>
      <c r="AG141" s="200">
        <f t="shared" si="58"/>
        <v>0.474</v>
      </c>
      <c r="AH141" s="152">
        <f t="shared" si="60"/>
        <v>1.0341188777109345</v>
      </c>
      <c r="AI141" s="152">
        <f t="shared" si="61"/>
      </c>
    </row>
    <row r="142" spans="25:35" ht="12">
      <c r="Y142" s="244">
        <v>68</v>
      </c>
      <c r="Z142" s="249">
        <f t="shared" si="52"/>
        <v>193.54039999999998</v>
      </c>
      <c r="AA142" s="71">
        <f t="shared" si="59"/>
        <v>4.2200000000000015</v>
      </c>
      <c r="AB142" s="246">
        <f t="shared" si="53"/>
        <v>11.371225202569025</v>
      </c>
      <c r="AC142" s="247">
        <f t="shared" si="54"/>
        <v>0</v>
      </c>
      <c r="AD142" s="247">
        <f t="shared" si="55"/>
        <v>10.221194627112023</v>
      </c>
      <c r="AE142" s="248">
        <f t="shared" si="56"/>
        <v>0</v>
      </c>
      <c r="AF142" s="200">
        <f t="shared" si="57"/>
        <v>0.458585635359116</v>
      </c>
      <c r="AG142" s="200">
        <f t="shared" si="58"/>
        <v>0.474</v>
      </c>
      <c r="AH142" s="152">
        <f t="shared" si="60"/>
        <v>1.1500305754570022</v>
      </c>
      <c r="AI142" s="152">
        <f t="shared" si="61"/>
      </c>
    </row>
    <row r="143" spans="25:35" ht="12">
      <c r="Y143" s="244">
        <v>69</v>
      </c>
      <c r="Z143" s="249">
        <f t="shared" si="52"/>
        <v>191.26639999999998</v>
      </c>
      <c r="AA143" s="71">
        <f t="shared" si="59"/>
        <v>4.280000000000001</v>
      </c>
      <c r="AB143" s="246">
        <f t="shared" si="53"/>
        <v>11.087169934653808</v>
      </c>
      <c r="AC143" s="247">
        <f t="shared" si="54"/>
        <v>0</v>
      </c>
      <c r="AD143" s="247">
        <f t="shared" si="55"/>
        <v>10.094469433296025</v>
      </c>
      <c r="AE143" s="248">
        <f t="shared" si="56"/>
        <v>0</v>
      </c>
      <c r="AF143" s="200">
        <f t="shared" si="57"/>
        <v>0.458585635359116</v>
      </c>
      <c r="AG143" s="200">
        <f t="shared" si="58"/>
        <v>0.474</v>
      </c>
      <c r="AH143" s="152">
        <f t="shared" si="60"/>
        <v>0.992700501357783</v>
      </c>
      <c r="AI143" s="152">
        <f t="shared" si="61"/>
      </c>
    </row>
    <row r="144" spans="2:35" ht="12">
      <c r="B144" s="43">
        <v>0</v>
      </c>
      <c r="Y144" s="244">
        <v>70</v>
      </c>
      <c r="Z144" s="249">
        <f t="shared" si="52"/>
        <v>188.8196</v>
      </c>
      <c r="AA144" s="71">
        <f t="shared" si="59"/>
        <v>4.340000000000001</v>
      </c>
      <c r="AB144" s="246">
        <f t="shared" si="53"/>
        <v>10.803114666738589</v>
      </c>
      <c r="AC144" s="247">
        <f t="shared" si="54"/>
        <v>0</v>
      </c>
      <c r="AD144" s="247">
        <f t="shared" si="55"/>
        <v>9.958310262970656</v>
      </c>
      <c r="AE144" s="248">
        <f t="shared" si="56"/>
        <v>0</v>
      </c>
      <c r="AF144" s="200">
        <f t="shared" si="57"/>
        <v>0.458585635359116</v>
      </c>
      <c r="AG144" s="200">
        <f t="shared" si="58"/>
        <v>0.474</v>
      </c>
      <c r="AH144" s="152">
        <f t="shared" si="60"/>
        <v>0.8448044037679328</v>
      </c>
      <c r="AI144" s="152">
        <f t="shared" si="61"/>
      </c>
    </row>
    <row r="145" spans="1:35" ht="12">
      <c r="A145" s="43">
        <v>1</v>
      </c>
      <c r="Y145" s="244">
        <v>71</v>
      </c>
      <c r="Z145" s="249">
        <f t="shared" si="52"/>
        <v>186.20000000000002</v>
      </c>
      <c r="AA145" s="71">
        <f t="shared" si="59"/>
        <v>4.4</v>
      </c>
      <c r="AB145" s="246">
        <f t="shared" si="53"/>
        <v>10.519059398823371</v>
      </c>
      <c r="AC145" s="247">
        <f t="shared" si="54"/>
        <v>0</v>
      </c>
      <c r="AD145" s="247">
        <f t="shared" si="55"/>
        <v>9.812759117081226</v>
      </c>
      <c r="AE145" s="248">
        <f t="shared" si="56"/>
        <v>0</v>
      </c>
      <c r="AF145" s="200">
        <f t="shared" si="57"/>
        <v>0.458585635359116</v>
      </c>
      <c r="AG145" s="200">
        <f t="shared" si="58"/>
        <v>0.474</v>
      </c>
      <c r="AH145" s="152">
        <f t="shared" si="60"/>
        <v>0.7063002817421449</v>
      </c>
      <c r="AI145" s="152">
        <f t="shared" si="61"/>
      </c>
    </row>
    <row r="146" spans="1:35" ht="12">
      <c r="A146" s="43">
        <v>2</v>
      </c>
      <c r="Y146" s="244">
        <v>72</v>
      </c>
      <c r="Z146" s="249">
        <f t="shared" si="52"/>
        <v>183.40760000000003</v>
      </c>
      <c r="AA146" s="71">
        <f t="shared" si="59"/>
        <v>4.46</v>
      </c>
      <c r="AB146" s="246">
        <f t="shared" si="53"/>
        <v>10.235004130908152</v>
      </c>
      <c r="AC146" s="247">
        <f t="shared" si="54"/>
        <v>0</v>
      </c>
      <c r="AD146" s="247">
        <f t="shared" si="55"/>
        <v>9.657860618483861</v>
      </c>
      <c r="AE146" s="248">
        <f t="shared" si="56"/>
        <v>0</v>
      </c>
      <c r="AF146" s="200">
        <f t="shared" si="57"/>
        <v>0.458585635359116</v>
      </c>
      <c r="AG146" s="200">
        <f t="shared" si="58"/>
        <v>0.474</v>
      </c>
      <c r="AH146" s="152">
        <f t="shared" si="60"/>
        <v>0.577143512424291</v>
      </c>
      <c r="AI146" s="152">
        <f t="shared" si="61"/>
      </c>
    </row>
    <row r="147" spans="1:35" ht="12">
      <c r="A147" s="43">
        <v>3</v>
      </c>
      <c r="Y147" s="244">
        <v>73</v>
      </c>
      <c r="Z147" s="249">
        <f t="shared" si="52"/>
        <v>180.44240000000008</v>
      </c>
      <c r="AA147" s="71">
        <f t="shared" si="59"/>
        <v>4.52</v>
      </c>
      <c r="AB147" s="246">
        <f t="shared" si="53"/>
        <v>9.950948862992934</v>
      </c>
      <c r="AC147" s="247">
        <f t="shared" si="54"/>
        <v>0</v>
      </c>
      <c r="AD147" s="247">
        <f t="shared" si="55"/>
        <v>9.493661945815088</v>
      </c>
      <c r="AE147" s="248">
        <f t="shared" si="56"/>
        <v>0</v>
      </c>
      <c r="AF147" s="200">
        <f t="shared" si="57"/>
        <v>0.458585635359116</v>
      </c>
      <c r="AG147" s="200">
        <f t="shared" si="58"/>
        <v>0.474</v>
      </c>
      <c r="AH147" s="152">
        <f t="shared" si="60"/>
        <v>0.4572869171778464</v>
      </c>
      <c r="AI147" s="152">
        <f t="shared" si="61"/>
      </c>
    </row>
    <row r="148" spans="1:35" ht="12">
      <c r="A148" s="43">
        <v>4</v>
      </c>
      <c r="Y148" s="244">
        <v>74</v>
      </c>
      <c r="Z148" s="249">
        <f t="shared" si="52"/>
        <v>177.3044000000001</v>
      </c>
      <c r="AA148" s="71">
        <f t="shared" si="59"/>
        <v>4.579999999999999</v>
      </c>
      <c r="AB148" s="246">
        <f t="shared" si="53"/>
        <v>9.666893595077715</v>
      </c>
      <c r="AC148" s="247">
        <f t="shared" si="54"/>
        <v>0</v>
      </c>
      <c r="AD148" s="247">
        <f t="shared" si="55"/>
        <v>9.320212764351396</v>
      </c>
      <c r="AE148" s="248">
        <f t="shared" si="56"/>
        <v>0</v>
      </c>
      <c r="AF148" s="200">
        <f t="shared" si="57"/>
        <v>0.458585635359116</v>
      </c>
      <c r="AG148" s="200">
        <f t="shared" si="58"/>
        <v>0.474</v>
      </c>
      <c r="AH148" s="152">
        <f t="shared" si="60"/>
        <v>0.34668083072631894</v>
      </c>
      <c r="AI148" s="152">
        <f t="shared" si="61"/>
      </c>
    </row>
    <row r="149" spans="1:35" ht="12">
      <c r="A149" s="43">
        <v>5</v>
      </c>
      <c r="Y149" s="244">
        <v>75</v>
      </c>
      <c r="Z149" s="249">
        <f t="shared" si="52"/>
        <v>173.9936000000001</v>
      </c>
      <c r="AA149" s="71">
        <f t="shared" si="59"/>
        <v>4.639999999999999</v>
      </c>
      <c r="AB149" s="246">
        <f t="shared" si="53"/>
        <v>9.382838327162496</v>
      </c>
      <c r="AC149" s="247">
        <f t="shared" si="54"/>
        <v>0</v>
      </c>
      <c r="AD149" s="247">
        <f t="shared" si="55"/>
        <v>9.137565154085612</v>
      </c>
      <c r="AE149" s="248">
        <f t="shared" si="56"/>
        <v>0</v>
      </c>
      <c r="AF149" s="200">
        <f t="shared" si="57"/>
        <v>0.458585635359116</v>
      </c>
      <c r="AG149" s="200">
        <f t="shared" si="58"/>
        <v>0.474</v>
      </c>
      <c r="AH149" s="152">
        <f t="shared" si="60"/>
        <v>0.24527317307688357</v>
      </c>
      <c r="AI149" s="152">
        <f t="shared" si="61"/>
      </c>
    </row>
    <row r="150" spans="1:35" ht="12">
      <c r="A150" s="43">
        <v>6</v>
      </c>
      <c r="Y150" s="244">
        <v>76</v>
      </c>
      <c r="Z150" s="249">
        <f t="shared" si="52"/>
        <v>170.5100000000001</v>
      </c>
      <c r="AA150" s="71">
        <f t="shared" si="59"/>
        <v>4.699999999999998</v>
      </c>
      <c r="AB150" s="246">
        <f t="shared" si="53"/>
        <v>9.1106186954104</v>
      </c>
      <c r="AC150" s="247">
        <f t="shared" si="54"/>
        <v>0</v>
      </c>
      <c r="AD150" s="247">
        <f t="shared" si="55"/>
        <v>8.804743485259308</v>
      </c>
      <c r="AE150" s="248">
        <f t="shared" si="56"/>
        <v>0</v>
      </c>
      <c r="AF150" s="200">
        <f t="shared" si="57"/>
        <v>0.46593103448275863</v>
      </c>
      <c r="AG150" s="200">
        <f t="shared" si="58"/>
        <v>0.474</v>
      </c>
      <c r="AH150" s="152">
        <f t="shared" si="60"/>
        <v>0.30587521015109154</v>
      </c>
      <c r="AI150" s="152">
        <f t="shared" si="61"/>
      </c>
    </row>
    <row r="151" spans="1:35" ht="12">
      <c r="A151" s="43">
        <v>7</v>
      </c>
      <c r="Y151" s="244">
        <v>77</v>
      </c>
      <c r="Z151" s="249">
        <f t="shared" si="52"/>
        <v>166.85360000000017</v>
      </c>
      <c r="AA151" s="71">
        <f t="shared" si="59"/>
        <v>4.759999999999998</v>
      </c>
      <c r="AB151" s="246">
        <f t="shared" si="53"/>
        <v>9.1106186954104</v>
      </c>
      <c r="AC151" s="247">
        <f t="shared" si="54"/>
        <v>0</v>
      </c>
      <c r="AD151" s="247">
        <f t="shared" si="55"/>
        <v>8.60703139652197</v>
      </c>
      <c r="AE151" s="248">
        <f t="shared" si="56"/>
        <v>0</v>
      </c>
      <c r="AF151" s="200">
        <f t="shared" si="57"/>
        <v>0.46593103448275863</v>
      </c>
      <c r="AG151" s="200">
        <f t="shared" si="58"/>
        <v>0.474</v>
      </c>
      <c r="AH151" s="152">
        <f t="shared" si="60"/>
        <v>0.50358729888843</v>
      </c>
      <c r="AI151" s="152">
        <f t="shared" si="61"/>
      </c>
    </row>
    <row r="152" spans="1:35" ht="12">
      <c r="A152" s="43">
        <v>8</v>
      </c>
      <c r="Y152" s="244">
        <v>78</v>
      </c>
      <c r="Z152" s="249">
        <f t="shared" si="52"/>
        <v>163.0244000000002</v>
      </c>
      <c r="AA152" s="71">
        <f t="shared" si="59"/>
        <v>4.819999999999998</v>
      </c>
      <c r="AB152" s="246">
        <f t="shared" si="53"/>
        <v>9.1106186954104</v>
      </c>
      <c r="AC152" s="247">
        <f t="shared" si="54"/>
        <v>0</v>
      </c>
      <c r="AD152" s="247">
        <f t="shared" si="55"/>
        <v>8.400433184713325</v>
      </c>
      <c r="AE152" s="248">
        <f t="shared" si="56"/>
        <v>0</v>
      </c>
      <c r="AF152" s="200">
        <f t="shared" si="57"/>
        <v>0.46593103448275863</v>
      </c>
      <c r="AG152" s="200">
        <f t="shared" si="58"/>
        <v>0.474</v>
      </c>
      <c r="AH152" s="152">
        <f t="shared" si="60"/>
        <v>0.7101855106970749</v>
      </c>
      <c r="AI152" s="152">
        <f t="shared" si="61"/>
      </c>
    </row>
    <row r="153" spans="1:35" ht="12">
      <c r="A153" s="43">
        <v>9</v>
      </c>
      <c r="Y153" s="244">
        <v>79</v>
      </c>
      <c r="Z153" s="249">
        <f t="shared" si="52"/>
        <v>159.02240000000023</v>
      </c>
      <c r="AA153" s="71">
        <f t="shared" si="59"/>
        <v>4.879999999999997</v>
      </c>
      <c r="AB153" s="246">
        <f t="shared" si="53"/>
        <v>9.1106186954104</v>
      </c>
      <c r="AC153" s="247">
        <f t="shared" si="54"/>
        <v>0</v>
      </c>
      <c r="AD153" s="247">
        <f t="shared" si="55"/>
        <v>8.185008860744732</v>
      </c>
      <c r="AE153" s="248">
        <f t="shared" si="56"/>
        <v>0</v>
      </c>
      <c r="AF153" s="200">
        <f t="shared" si="57"/>
        <v>0.46593103448275863</v>
      </c>
      <c r="AG153" s="200">
        <f t="shared" si="58"/>
        <v>0.474</v>
      </c>
      <c r="AH153" s="152">
        <f t="shared" si="60"/>
        <v>0.9256098346656678</v>
      </c>
      <c r="AI153" s="152">
        <f t="shared" si="61"/>
      </c>
    </row>
    <row r="154" spans="1:35" ht="12">
      <c r="A154" s="43">
        <v>10</v>
      </c>
      <c r="Y154" s="244">
        <v>80</v>
      </c>
      <c r="Z154" s="249">
        <f t="shared" si="52"/>
        <v>154.84760000000023</v>
      </c>
      <c r="AA154" s="71">
        <f t="shared" si="59"/>
        <v>4.939999999999997</v>
      </c>
      <c r="AB154" s="246">
        <f t="shared" si="53"/>
        <v>9.1106186954104</v>
      </c>
      <c r="AC154" s="247">
        <f t="shared" si="54"/>
        <v>0</v>
      </c>
      <c r="AD154" s="247">
        <f t="shared" si="55"/>
        <v>7.960820425221068</v>
      </c>
      <c r="AE154" s="248">
        <f t="shared" si="56"/>
        <v>0</v>
      </c>
      <c r="AF154" s="200">
        <f t="shared" si="57"/>
        <v>0.46593103448275863</v>
      </c>
      <c r="AG154" s="200">
        <f t="shared" si="58"/>
        <v>0.474</v>
      </c>
      <c r="AH154" s="152">
        <f t="shared" si="60"/>
        <v>1.149798270189332</v>
      </c>
      <c r="AI154" s="152">
        <f t="shared" si="61"/>
      </c>
    </row>
    <row r="155" spans="1:35" ht="12">
      <c r="A155" s="43">
        <v>11</v>
      </c>
      <c r="Y155" s="244">
        <v>81</v>
      </c>
      <c r="Z155" s="249">
        <f t="shared" si="52"/>
        <v>150.50000000000028</v>
      </c>
      <c r="AA155" s="71">
        <f t="shared" si="59"/>
        <v>4.9999999999999964</v>
      </c>
      <c r="AB155" s="246">
        <f t="shared" si="53"/>
        <v>9.055862934573208</v>
      </c>
      <c r="AC155" s="247">
        <f t="shared" si="54"/>
        <v>0</v>
      </c>
      <c r="AD155" s="247">
        <f t="shared" si="55"/>
        <v>7.727931786089234</v>
      </c>
      <c r="AE155" s="248">
        <f t="shared" si="56"/>
        <v>0</v>
      </c>
      <c r="AF155" s="200">
        <f t="shared" si="57"/>
        <v>0.46593103448275863</v>
      </c>
      <c r="AG155" s="200">
        <f t="shared" si="58"/>
        <v>0.474</v>
      </c>
      <c r="AH155" s="152">
        <f t="shared" si="60"/>
        <v>1.327931148483974</v>
      </c>
      <c r="AI155" s="152">
        <f t="shared" si="61"/>
      </c>
    </row>
    <row r="156" spans="1:35" ht="12">
      <c r="A156" s="43">
        <v>12</v>
      </c>
      <c r="Y156" s="244">
        <v>82</v>
      </c>
      <c r="Z156" s="249">
        <f t="shared" si="52"/>
        <v>145.97960000000035</v>
      </c>
      <c r="AA156" s="71">
        <f t="shared" si="59"/>
        <v>5.059999999999996</v>
      </c>
      <c r="AB156" s="246">
        <f t="shared" si="53"/>
        <v>8.724465122005451</v>
      </c>
      <c r="AC156" s="247">
        <f t="shared" si="54"/>
        <v>0</v>
      </c>
      <c r="AD156" s="247">
        <f t="shared" si="55"/>
        <v>7.486408675177982</v>
      </c>
      <c r="AE156" s="248">
        <f t="shared" si="56"/>
        <v>0</v>
      </c>
      <c r="AF156" s="200">
        <f t="shared" si="57"/>
        <v>0.46593103448275863</v>
      </c>
      <c r="AG156" s="200">
        <f t="shared" si="58"/>
        <v>0.474</v>
      </c>
      <c r="AH156" s="152">
        <f t="shared" si="60"/>
        <v>1.2380564468274695</v>
      </c>
      <c r="AI156" s="152">
        <f t="shared" si="61"/>
      </c>
    </row>
    <row r="157" spans="1:35" ht="12">
      <c r="A157" s="43">
        <v>13</v>
      </c>
      <c r="Y157" s="244">
        <v>83</v>
      </c>
      <c r="Z157" s="249">
        <f t="shared" si="52"/>
        <v>141.28640000000038</v>
      </c>
      <c r="AA157" s="71">
        <f t="shared" si="59"/>
        <v>5.119999999999996</v>
      </c>
      <c r="AB157" s="246">
        <f t="shared" si="53"/>
        <v>8.393067309437697</v>
      </c>
      <c r="AC157" s="247">
        <f t="shared" si="54"/>
        <v>0</v>
      </c>
      <c r="AD157" s="247">
        <f t="shared" si="55"/>
        <v>7.23631856385799</v>
      </c>
      <c r="AE157" s="248">
        <f t="shared" si="56"/>
        <v>0</v>
      </c>
      <c r="AF157" s="200">
        <f t="shared" si="57"/>
        <v>0.46593103448275863</v>
      </c>
      <c r="AG157" s="200">
        <f t="shared" si="58"/>
        <v>0.474</v>
      </c>
      <c r="AH157" s="152">
        <f t="shared" si="60"/>
        <v>1.1567487455797067</v>
      </c>
      <c r="AI157" s="152">
        <f t="shared" si="61"/>
      </c>
    </row>
    <row r="158" spans="1:35" ht="12">
      <c r="A158" s="43">
        <v>14</v>
      </c>
      <c r="Q158" s="152"/>
      <c r="Y158" s="244">
        <v>84</v>
      </c>
      <c r="Z158" s="249">
        <f t="shared" si="52"/>
        <v>136.42040000000043</v>
      </c>
      <c r="AA158" s="71">
        <f t="shared" si="59"/>
        <v>5.179999999999995</v>
      </c>
      <c r="AB158" s="246">
        <f t="shared" si="53"/>
        <v>8.061669496869943</v>
      </c>
      <c r="AC158" s="247">
        <f t="shared" si="54"/>
        <v>0</v>
      </c>
      <c r="AD158" s="247">
        <f t="shared" si="55"/>
        <v>6.977730578046649</v>
      </c>
      <c r="AE158" s="248">
        <f t="shared" si="56"/>
        <v>0</v>
      </c>
      <c r="AF158" s="200">
        <f t="shared" si="57"/>
        <v>0.46593103448275863</v>
      </c>
      <c r="AG158" s="200">
        <f t="shared" si="58"/>
        <v>0.474</v>
      </c>
      <c r="AH158" s="152">
        <f t="shared" si="60"/>
        <v>1.0839389188232937</v>
      </c>
      <c r="AI158" s="152">
        <f t="shared" si="61"/>
      </c>
    </row>
    <row r="159" spans="1:35" ht="12">
      <c r="A159" s="43">
        <v>15</v>
      </c>
      <c r="Y159" s="244">
        <v>85</v>
      </c>
      <c r="Z159" s="249">
        <f t="shared" si="52"/>
        <v>131.38160000000047</v>
      </c>
      <c r="AA159" s="71">
        <f t="shared" si="59"/>
        <v>5.239999999999995</v>
      </c>
      <c r="AB159" s="246">
        <f t="shared" si="53"/>
        <v>7.7302716843021875</v>
      </c>
      <c r="AC159" s="247">
        <f t="shared" si="54"/>
        <v>0</v>
      </c>
      <c r="AD159" s="247">
        <f t="shared" si="55"/>
        <v>6.710715412776993</v>
      </c>
      <c r="AE159" s="248">
        <f t="shared" si="56"/>
        <v>0</v>
      </c>
      <c r="AF159" s="200">
        <f t="shared" si="57"/>
        <v>0.46593103448275863</v>
      </c>
      <c r="AG159" s="200">
        <f t="shared" si="58"/>
        <v>0.474</v>
      </c>
      <c r="AH159" s="152">
        <f t="shared" si="60"/>
        <v>1.019556271525195</v>
      </c>
      <c r="AI159" s="152">
        <f t="shared" si="61"/>
      </c>
    </row>
    <row r="160" spans="1:35" ht="12">
      <c r="A160" s="43">
        <v>16</v>
      </c>
      <c r="Y160" s="244">
        <v>86</v>
      </c>
      <c r="Z160" s="249">
        <f t="shared" si="52"/>
        <v>126.17000000000054</v>
      </c>
      <c r="AA160" s="71">
        <f t="shared" si="59"/>
        <v>5.2999999999999945</v>
      </c>
      <c r="AB160" s="246">
        <f t="shared" si="53"/>
        <v>7.398873871734432</v>
      </c>
      <c r="AC160" s="247">
        <f t="shared" si="54"/>
        <v>0</v>
      </c>
      <c r="AD160" s="247">
        <f t="shared" si="55"/>
        <v>6.435345246544303</v>
      </c>
      <c r="AE160" s="248">
        <f t="shared" si="56"/>
        <v>0</v>
      </c>
      <c r="AF160" s="200">
        <f t="shared" si="57"/>
        <v>0.46593103448275863</v>
      </c>
      <c r="AG160" s="200">
        <f t="shared" si="58"/>
        <v>0.474</v>
      </c>
      <c r="AH160" s="152">
        <f t="shared" si="60"/>
        <v>0.9635286251901292</v>
      </c>
      <c r="AI160" s="152">
        <f t="shared" si="61"/>
      </c>
    </row>
    <row r="161" spans="1:35" ht="12">
      <c r="A161" s="43">
        <v>17</v>
      </c>
      <c r="Y161" s="244">
        <v>87</v>
      </c>
      <c r="Z161" s="249">
        <f t="shared" si="52"/>
        <v>120.78560000000058</v>
      </c>
      <c r="AA161" s="71">
        <f t="shared" si="59"/>
        <v>5.359999999999994</v>
      </c>
      <c r="AB161" s="246">
        <f t="shared" si="53"/>
        <v>7.067476059166677</v>
      </c>
      <c r="AC161" s="247">
        <f t="shared" si="54"/>
        <v>0</v>
      </c>
      <c r="AD161" s="247">
        <f t="shared" si="55"/>
        <v>6.151693655637095</v>
      </c>
      <c r="AE161" s="248">
        <f t="shared" si="56"/>
        <v>0</v>
      </c>
      <c r="AF161" s="200">
        <f t="shared" si="57"/>
        <v>0.46593103448275863</v>
      </c>
      <c r="AG161" s="200">
        <f t="shared" si="58"/>
        <v>0.474</v>
      </c>
      <c r="AH161" s="152">
        <f t="shared" si="60"/>
        <v>0.9157824035295823</v>
      </c>
      <c r="AI161" s="152">
        <f t="shared" si="61"/>
      </c>
    </row>
    <row r="162" spans="1:35" ht="12">
      <c r="A162" s="43">
        <v>18</v>
      </c>
      <c r="Y162" s="244">
        <v>88</v>
      </c>
      <c r="Z162" s="249">
        <f t="shared" si="52"/>
        <v>115.22840000000062</v>
      </c>
      <c r="AA162" s="71">
        <f t="shared" si="59"/>
        <v>5.419999999999994</v>
      </c>
      <c r="AB162" s="246">
        <f t="shared" si="53"/>
        <v>6.736078246598922</v>
      </c>
      <c r="AC162" s="247">
        <f t="shared" si="54"/>
        <v>0</v>
      </c>
      <c r="AD162" s="247">
        <f t="shared" si="55"/>
        <v>5.859835528651907</v>
      </c>
      <c r="AE162" s="248">
        <f t="shared" si="56"/>
        <v>0</v>
      </c>
      <c r="AF162" s="200">
        <f t="shared" si="57"/>
        <v>0.46593103448275863</v>
      </c>
      <c r="AG162" s="200">
        <f t="shared" si="58"/>
        <v>0.474</v>
      </c>
      <c r="AH162" s="152">
        <f t="shared" si="60"/>
        <v>0.8762427179470151</v>
      </c>
      <c r="AI162" s="152">
        <f t="shared" si="61"/>
      </c>
    </row>
    <row r="163" spans="1:35" ht="12">
      <c r="A163" s="43">
        <v>19</v>
      </c>
      <c r="Y163" s="244">
        <v>89</v>
      </c>
      <c r="Z163" s="249">
        <f t="shared" si="52"/>
        <v>109.49840000000069</v>
      </c>
      <c r="AA163" s="71">
        <f t="shared" si="59"/>
        <v>5.479999999999993</v>
      </c>
      <c r="AB163" s="246">
        <f t="shared" si="53"/>
        <v>6.404680434031167</v>
      </c>
      <c r="AC163" s="247">
        <f t="shared" si="54"/>
        <v>0</v>
      </c>
      <c r="AD163" s="247">
        <f t="shared" si="55"/>
        <v>5.559846981383238</v>
      </c>
      <c r="AE163" s="248">
        <f t="shared" si="56"/>
        <v>0</v>
      </c>
      <c r="AF163" s="200">
        <f t="shared" si="57"/>
        <v>0.46593103448275863</v>
      </c>
      <c r="AG163" s="200">
        <f t="shared" si="58"/>
        <v>0.474</v>
      </c>
      <c r="AH163" s="152">
        <f t="shared" si="60"/>
        <v>0.8448334526479293</v>
      </c>
      <c r="AI163" s="152">
        <f t="shared" si="61"/>
      </c>
    </row>
    <row r="164" spans="1:35" ht="12">
      <c r="A164" s="43">
        <v>20</v>
      </c>
      <c r="Y164" s="244">
        <v>90</v>
      </c>
      <c r="Z164" s="249">
        <f t="shared" si="52"/>
        <v>103.59560000000076</v>
      </c>
      <c r="AA164" s="71">
        <f t="shared" si="59"/>
        <v>5.539999999999993</v>
      </c>
      <c r="AB164" s="246">
        <f t="shared" si="53"/>
        <v>6.073282621463412</v>
      </c>
      <c r="AC164" s="247">
        <f t="shared" si="54"/>
        <v>0</v>
      </c>
      <c r="AD164" s="247">
        <f t="shared" si="55"/>
        <v>5.251805272271444</v>
      </c>
      <c r="AE164" s="248">
        <f t="shared" si="56"/>
        <v>0</v>
      </c>
      <c r="AF164" s="200">
        <f t="shared" si="57"/>
        <v>0.46593103448275863</v>
      </c>
      <c r="AG164" s="200">
        <f t="shared" si="58"/>
        <v>0.474</v>
      </c>
      <c r="AH164" s="152">
        <f t="shared" si="60"/>
        <v>0.8214773491919685</v>
      </c>
      <c r="AI164" s="152">
        <f t="shared" si="61"/>
      </c>
    </row>
    <row r="165" spans="1:35" ht="12">
      <c r="A165" s="43">
        <v>21</v>
      </c>
      <c r="Y165" s="244">
        <v>91</v>
      </c>
      <c r="Z165" s="249">
        <f t="shared" si="52"/>
        <v>97.52000000000079</v>
      </c>
      <c r="AA165" s="71">
        <f t="shared" si="59"/>
        <v>5.5999999999999925</v>
      </c>
      <c r="AB165" s="246">
        <f t="shared" si="53"/>
        <v>6.031857894892402</v>
      </c>
      <c r="AC165" s="247">
        <f t="shared" si="54"/>
        <v>0</v>
      </c>
      <c r="AD165" s="247">
        <f t="shared" si="55"/>
        <v>4.882669094771631</v>
      </c>
      <c r="AE165" s="248">
        <f t="shared" si="56"/>
        <v>0</v>
      </c>
      <c r="AF165" s="200">
        <f t="shared" si="57"/>
        <v>0.471</v>
      </c>
      <c r="AG165" s="200">
        <f t="shared" si="58"/>
        <v>0.474</v>
      </c>
      <c r="AH165" s="152">
        <f t="shared" si="60"/>
        <v>1.149188800120771</v>
      </c>
      <c r="AI165" s="152">
        <f t="shared" si="61"/>
      </c>
    </row>
    <row r="166" spans="25:35" ht="12">
      <c r="Y166" s="244">
        <v>92</v>
      </c>
      <c r="Z166" s="249">
        <f t="shared" si="52"/>
        <v>91.27160000000087</v>
      </c>
      <c r="AA166" s="71">
        <f t="shared" si="59"/>
        <v>5.659999999999992</v>
      </c>
      <c r="AB166" s="246">
        <f t="shared" si="53"/>
        <v>6.031857894892402</v>
      </c>
      <c r="AC166" s="247">
        <f t="shared" si="54"/>
        <v>0</v>
      </c>
      <c r="AD166" s="247">
        <f t="shared" si="55"/>
        <v>4.562242975429443</v>
      </c>
      <c r="AE166" s="248">
        <f t="shared" si="56"/>
        <v>0</v>
      </c>
      <c r="AF166" s="200">
        <f t="shared" si="57"/>
        <v>0.471</v>
      </c>
      <c r="AG166" s="200">
        <f t="shared" si="58"/>
        <v>0.474</v>
      </c>
      <c r="AH166" s="152">
        <f t="shared" si="60"/>
        <v>1.469614919462959</v>
      </c>
      <c r="AI166" s="152">
        <f t="shared" si="61"/>
      </c>
    </row>
    <row r="167" spans="25:35" ht="12">
      <c r="Y167" s="244">
        <v>93</v>
      </c>
      <c r="Z167" s="249">
        <f t="shared" si="52"/>
        <v>84.85040000000095</v>
      </c>
      <c r="AA167" s="71">
        <f t="shared" si="59"/>
        <v>5.719999999999992</v>
      </c>
      <c r="AB167" s="246">
        <f t="shared" si="53"/>
        <v>6.031857894892402</v>
      </c>
      <c r="AC167" s="247">
        <f t="shared" si="54"/>
        <v>0</v>
      </c>
      <c r="AD167" s="247">
        <f t="shared" si="55"/>
        <v>4.234085601877084</v>
      </c>
      <c r="AE167" s="248">
        <f t="shared" si="56"/>
        <v>0</v>
      </c>
      <c r="AF167" s="200">
        <f t="shared" si="57"/>
        <v>0.471</v>
      </c>
      <c r="AG167" s="200">
        <f t="shared" si="58"/>
        <v>0.474</v>
      </c>
      <c r="AH167" s="152">
        <f t="shared" si="60"/>
        <v>1.7977722930153188</v>
      </c>
      <c r="AI167" s="152">
        <f t="shared" si="61"/>
      </c>
    </row>
    <row r="168" spans="25:35" ht="12">
      <c r="Y168" s="244">
        <v>94</v>
      </c>
      <c r="Z168" s="249">
        <f t="shared" si="52"/>
        <v>78.25640000000101</v>
      </c>
      <c r="AA168" s="71">
        <f t="shared" si="59"/>
        <v>5.779999999999991</v>
      </c>
      <c r="AB168" s="246">
        <f t="shared" si="53"/>
        <v>6.031857894892402</v>
      </c>
      <c r="AC168" s="247">
        <f t="shared" si="54"/>
        <v>0</v>
      </c>
      <c r="AD168" s="247">
        <f t="shared" si="55"/>
        <v>3.898277102923238</v>
      </c>
      <c r="AE168" s="248">
        <f t="shared" si="56"/>
        <v>0</v>
      </c>
      <c r="AF168" s="200">
        <f t="shared" si="57"/>
        <v>0.471</v>
      </c>
      <c r="AG168" s="200">
        <f t="shared" si="58"/>
        <v>0.474</v>
      </c>
      <c r="AH168" s="152">
        <f t="shared" si="60"/>
        <v>2.1335807919691643</v>
      </c>
      <c r="AI168" s="152">
        <f t="shared" si="61"/>
      </c>
    </row>
    <row r="169" spans="25:35" ht="12">
      <c r="Y169" s="244">
        <v>95</v>
      </c>
      <c r="Z169" s="249">
        <f t="shared" si="52"/>
        <v>71.48960000000109</v>
      </c>
      <c r="AA169" s="71">
        <f t="shared" si="59"/>
        <v>5.839999999999991</v>
      </c>
      <c r="AB169" s="246">
        <f t="shared" si="53"/>
        <v>5.752119175283309</v>
      </c>
      <c r="AC169" s="247">
        <f t="shared" si="54"/>
        <v>-0.15534272464109788</v>
      </c>
      <c r="AD169" s="247">
        <f t="shared" si="55"/>
        <v>3.5548983334823636</v>
      </c>
      <c r="AE169" s="248">
        <f t="shared" si="56"/>
        <v>0</v>
      </c>
      <c r="AF169" s="200">
        <f t="shared" si="57"/>
        <v>0.471</v>
      </c>
      <c r="AG169" s="200">
        <f t="shared" si="58"/>
        <v>0.469</v>
      </c>
      <c r="AH169" s="152">
        <f t="shared" si="60"/>
        <v>2.1972208418009456</v>
      </c>
      <c r="AI169" s="152">
        <f t="shared" si="61"/>
      </c>
    </row>
    <row r="170" spans="25:35" ht="12">
      <c r="Y170" s="244">
        <v>96</v>
      </c>
      <c r="Z170" s="249">
        <f t="shared" si="52"/>
        <v>64.55000000000113</v>
      </c>
      <c r="AA170" s="71">
        <f t="shared" si="59"/>
        <v>5.899999999999991</v>
      </c>
      <c r="AB170" s="246">
        <f t="shared" si="53"/>
        <v>5.1840086394528715</v>
      </c>
      <c r="AC170" s="247">
        <f t="shared" si="54"/>
        <v>-0.4038910840669141</v>
      </c>
      <c r="AD170" s="247">
        <f t="shared" si="55"/>
        <v>3.2040307975221096</v>
      </c>
      <c r="AE170" s="248">
        <f t="shared" si="56"/>
        <v>0</v>
      </c>
      <c r="AF170" s="200">
        <f t="shared" si="57"/>
        <v>0.471</v>
      </c>
      <c r="AG170" s="200">
        <f t="shared" si="58"/>
        <v>0.469</v>
      </c>
      <c r="AH170" s="152">
        <f t="shared" si="60"/>
        <v>1.9799778419307619</v>
      </c>
      <c r="AI170" s="152">
        <f t="shared" si="61"/>
      </c>
    </row>
    <row r="171" spans="25:35" ht="12">
      <c r="Y171" s="244">
        <v>97</v>
      </c>
      <c r="Z171" s="249">
        <f>C$22*(1-AA171/B$17)+C$23*(AA171/B$17)+C$21*AA171*(B$17-AA171)/2</f>
        <v>57.43760000000123</v>
      </c>
      <c r="AA171" s="71">
        <f t="shared" si="59"/>
        <v>5.95999999999999</v>
      </c>
      <c r="AB171" s="246">
        <f>fAs3(AA171,B$15,B$26:D$26,B$27:D$27,B$28:D$28,L$18,L$15,H$14)</f>
        <v>4.615898103622434</v>
      </c>
      <c r="AC171" s="247">
        <f t="shared" si="54"/>
        <v>-0.6524394434927303</v>
      </c>
      <c r="AD171" s="247">
        <f t="shared" si="55"/>
        <v>2.8457565725637646</v>
      </c>
      <c r="AE171" s="248">
        <f t="shared" si="56"/>
        <v>0</v>
      </c>
      <c r="AF171" s="200">
        <f t="shared" si="57"/>
        <v>0.471</v>
      </c>
      <c r="AG171" s="200">
        <f t="shared" si="58"/>
        <v>0.469</v>
      </c>
      <c r="AH171" s="152">
        <f t="shared" si="60"/>
        <v>1.7701415310586692</v>
      </c>
      <c r="AI171" s="152">
        <f t="shared" si="61"/>
      </c>
    </row>
    <row r="172" spans="25:35" ht="12">
      <c r="Y172" s="244">
        <v>98</v>
      </c>
      <c r="Z172" s="249">
        <f>C$22*(1-AA172/B$17)+C$23*(AA172/B$17)+C$21*AA172*(B$17-AA172)/2</f>
        <v>50.15240000000131</v>
      </c>
      <c r="AA172" s="71">
        <f t="shared" si="59"/>
        <v>6.01999999999999</v>
      </c>
      <c r="AB172" s="246">
        <f>fAs3(AA172,B$15,B$26:D$26,B$27:D$27,B$28:D$28,L$18,L$15,H$14)</f>
        <v>4.047787567791997</v>
      </c>
      <c r="AC172" s="247">
        <f t="shared" si="54"/>
        <v>-0.9009878029185465</v>
      </c>
      <c r="AD172" s="247">
        <f t="shared" si="55"/>
        <v>2.4801582358388963</v>
      </c>
      <c r="AE172" s="248">
        <f t="shared" si="56"/>
        <v>0</v>
      </c>
      <c r="AF172" s="200">
        <f t="shared" si="57"/>
        <v>0.471</v>
      </c>
      <c r="AG172" s="200">
        <f t="shared" si="58"/>
        <v>0.469</v>
      </c>
      <c r="AH172" s="152">
        <f t="shared" si="60"/>
        <v>1.5676293319531007</v>
      </c>
      <c r="AI172" s="152">
        <f t="shared" si="61"/>
      </c>
    </row>
    <row r="173" spans="25:35" ht="12">
      <c r="Y173" s="244">
        <v>99</v>
      </c>
      <c r="Z173" s="249">
        <f>C$22*(1-AA173/B$17)+C$23*(AA173/B$17)+C$21*AA173*(B$17-AA173)/2</f>
        <v>42.69440000000137</v>
      </c>
      <c r="AA173" s="71">
        <f t="shared" si="59"/>
        <v>6.079999999999989</v>
      </c>
      <c r="AB173" s="246">
        <f>fAs3(AA173,B$15,B$26:D$26,B$27:D$27,B$28:D$28,L$18,L$15,H$14)</f>
        <v>3.47967703196156</v>
      </c>
      <c r="AC173" s="247">
        <f t="shared" si="54"/>
        <v>-1.1495361623443627</v>
      </c>
      <c r="AD173" s="247">
        <f t="shared" si="55"/>
        <v>2.1073187921954855</v>
      </c>
      <c r="AE173" s="248">
        <f t="shared" si="56"/>
        <v>0</v>
      </c>
      <c r="AF173" s="200">
        <f t="shared" si="57"/>
        <v>0.471</v>
      </c>
      <c r="AG173" s="200">
        <f t="shared" si="58"/>
        <v>0.469</v>
      </c>
      <c r="AH173" s="152">
        <f t="shared" si="60"/>
        <v>1.3723582397660747</v>
      </c>
      <c r="AI173" s="152">
        <f t="shared" si="61"/>
      </c>
    </row>
    <row r="174" spans="25:35" ht="12">
      <c r="Y174" s="244">
        <v>100</v>
      </c>
      <c r="Z174" s="249">
        <f>C$22*(1-AA174/B$17)+C$23*(AA174/B$17)+C$21*AA174*(B$17-AA174)/2</f>
        <v>35.06360000000146</v>
      </c>
      <c r="AA174" s="71">
        <f t="shared" si="59"/>
        <v>6.139999999999989</v>
      </c>
      <c r="AB174" s="246">
        <f>fAs3(AA174,B$15,B$26:D$26,B$27:D$27,B$28:D$28,L$18,L$15,H$14)</f>
        <v>2.911566496131123</v>
      </c>
      <c r="AC174" s="247">
        <f t="shared" si="54"/>
        <v>-1.398084521770179</v>
      </c>
      <c r="AD174" s="247">
        <f t="shared" si="55"/>
        <v>1.7273216038369157</v>
      </c>
      <c r="AE174" s="248">
        <f t="shared" si="56"/>
        <v>0</v>
      </c>
      <c r="AF174" s="200">
        <f t="shared" si="57"/>
        <v>0.471</v>
      </c>
      <c r="AG174" s="200">
        <f t="shared" si="58"/>
        <v>0.469</v>
      </c>
      <c r="AH174" s="152">
        <f t="shared" si="60"/>
        <v>1.1842448922942073</v>
      </c>
      <c r="AI174" s="152">
        <f t="shared" si="61"/>
      </c>
    </row>
    <row r="175" spans="25:35" ht="12">
      <c r="Y175" s="244">
        <v>101</v>
      </c>
      <c r="Z175" s="250">
        <f>C$22*(1-AA175/B$17)+C$23*(AA175/B$17)+C$21*AA175*(B$17-AA175)/2</f>
        <v>27.260000000001547</v>
      </c>
      <c r="AA175" s="71">
        <f t="shared" si="59"/>
        <v>6.199999999999989</v>
      </c>
      <c r="AB175" s="246">
        <f>fAs3(AA175,B$15,B$26:D$26,B$27:D$27,B$28:D$28,L$18,L$15,H$14)</f>
        <v>2.3434559603006853</v>
      </c>
      <c r="AC175" s="247">
        <f t="shared" si="54"/>
        <v>-1.646632881195995</v>
      </c>
      <c r="AD175" s="247">
        <f t="shared" si="55"/>
        <v>1.3402503219676227</v>
      </c>
      <c r="AE175" s="248">
        <f t="shared" si="56"/>
        <v>0</v>
      </c>
      <c r="AF175" s="200">
        <f t="shared" si="57"/>
        <v>0.471</v>
      </c>
      <c r="AG175" s="200">
        <f t="shared" si="58"/>
        <v>0.469</v>
      </c>
      <c r="AH175" s="152">
        <f>IF(AB175=0,"",AB175-AD175)</f>
        <v>1.0032056383330625</v>
      </c>
      <c r="AI175" s="152">
        <f t="shared" si="61"/>
      </c>
    </row>
  </sheetData>
  <sheetProtection password="DE57" sheet="1"/>
  <mergeCells count="1">
    <mergeCell ref="B1:I1"/>
  </mergeCells>
  <conditionalFormatting sqref="Q119:R120">
    <cfRule type="cellIs" priority="1" dxfId="0" operator="greaterThan" stopIfTrue="1">
      <formula>$T$119</formula>
    </cfRule>
  </conditionalFormatting>
  <conditionalFormatting sqref="T100:T101">
    <cfRule type="cellIs" priority="2" dxfId="0" operator="lessThan" stopIfTrue="1">
      <formula>0</formula>
    </cfRule>
  </conditionalFormatting>
  <conditionalFormatting sqref="P99:P101">
    <cfRule type="cellIs" priority="3" dxfId="0" operator="greaterThan" stopIfTrue="1">
      <formula>1.005</formula>
    </cfRule>
  </conditionalFormatting>
  <conditionalFormatting sqref="Q99:Q101">
    <cfRule type="cellIs" priority="4" dxfId="0" operator="equal" stopIfTrue="1">
      <formula>"KO"</formula>
    </cfRule>
  </conditionalFormatting>
  <conditionalFormatting sqref="I121:I141 D95:E115 AD75:AE175">
    <cfRule type="cellIs" priority="5" dxfId="2" operator="equal" stopIfTrue="1">
      <formula>0</formula>
    </cfRule>
  </conditionalFormatting>
  <conditionalFormatting sqref="L95:M115">
    <cfRule type="cellIs" priority="6" dxfId="0" operator="greaterThan" stopIfTrue="1">
      <formula>1</formula>
    </cfRule>
  </conditionalFormatting>
  <conditionalFormatting sqref="U106:V106">
    <cfRule type="cellIs" priority="7" dxfId="0" operator="lessThan" stopIfTrue="1">
      <formula>$U$107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8" r:id="rId11"/>
  <rowBreaks count="2" manualBreakCount="2">
    <brk id="39" max="255" man="1"/>
    <brk id="90" max="255" man="1"/>
  </rowBreaks>
  <drawing r:id="rId10"/>
  <legacyDrawing r:id="rId9"/>
  <oleObjects>
    <oleObject progId="Designer.Drawing.7" shapeId="1547541" r:id="rId2"/>
    <oleObject progId="Equation.3" shapeId="1547542" r:id="rId3"/>
    <oleObject progId="Equation.3" shapeId="1547543" r:id="rId4"/>
    <oleObject progId="Equation.3" shapeId="1547544" r:id="rId5"/>
    <oleObject progId="Equation.3" shapeId="1547545" r:id="rId6"/>
    <oleObject progId="Equation.3" shapeId="1547546" r:id="rId7"/>
    <oleObject progId="Equation.3" shapeId="1547547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</dc:creator>
  <cp:keywords/>
  <dc:description/>
  <cp:lastModifiedBy>Henry</cp:lastModifiedBy>
  <cp:lastPrinted>2018-05-14T06:59:23Z</cp:lastPrinted>
  <dcterms:created xsi:type="dcterms:W3CDTF">2018-02-05T11:29:13Z</dcterms:created>
  <dcterms:modified xsi:type="dcterms:W3CDTF">2021-12-18T16:30:58Z</dcterms:modified>
  <cp:category/>
  <cp:version/>
  <cp:contentType/>
  <cp:contentStatus/>
</cp:coreProperties>
</file>