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515" windowHeight="10770" activeTab="1"/>
  </bookViews>
  <sheets>
    <sheet name="BAEL" sheetId="1" r:id="rId1"/>
    <sheet name="EC2" sheetId="2" r:id="rId2"/>
  </sheets>
  <definedNames/>
  <calcPr calcMode="manual" fullCalcOnLoad="1" iterate="1" iterateCount="10" iterateDelta="0.001"/>
</workbook>
</file>

<file path=xl/sharedStrings.xml><?xml version="1.0" encoding="utf-8"?>
<sst xmlns="http://schemas.openxmlformats.org/spreadsheetml/2006/main" count="263" uniqueCount="145">
  <si>
    <r>
      <t>Ø</t>
    </r>
    <r>
      <rPr>
        <vertAlign val="subscript"/>
        <sz val="9"/>
        <rFont val="Arial"/>
        <family val="2"/>
      </rPr>
      <t>1</t>
    </r>
  </si>
  <si>
    <r>
      <t>Ø</t>
    </r>
    <r>
      <rPr>
        <vertAlign val="subscript"/>
        <sz val="9"/>
        <rFont val="Arial"/>
        <family val="2"/>
      </rPr>
      <t>2</t>
    </r>
  </si>
  <si>
    <t>h</t>
  </si>
  <si>
    <t>d</t>
  </si>
  <si>
    <r>
      <t>Ø</t>
    </r>
    <r>
      <rPr>
        <vertAlign val="subscript"/>
        <sz val="9"/>
        <rFont val="Arial"/>
        <family val="2"/>
      </rPr>
      <t>3</t>
    </r>
  </si>
  <si>
    <t>= h/2</t>
  </si>
  <si>
    <r>
      <t>S</t>
    </r>
    <r>
      <rPr>
        <vertAlign val="subscript"/>
        <sz val="9"/>
        <rFont val="Arial"/>
        <family val="2"/>
      </rPr>
      <t>1</t>
    </r>
  </si>
  <si>
    <r>
      <t>S</t>
    </r>
    <r>
      <rPr>
        <vertAlign val="subscript"/>
        <sz val="9"/>
        <rFont val="Arial"/>
        <family val="2"/>
      </rPr>
      <t>2</t>
    </r>
  </si>
  <si>
    <r>
      <t>t</t>
    </r>
    <r>
      <rPr>
        <vertAlign val="subscript"/>
        <sz val="9"/>
        <rFont val="Arial"/>
        <family val="2"/>
      </rPr>
      <t>1</t>
    </r>
  </si>
  <si>
    <r>
      <t>t</t>
    </r>
    <r>
      <rPr>
        <vertAlign val="subscript"/>
        <sz val="9"/>
        <rFont val="Arial"/>
        <family val="2"/>
      </rPr>
      <t>2</t>
    </r>
  </si>
  <si>
    <t>MPa</t>
  </si>
  <si>
    <t>m</t>
  </si>
  <si>
    <r>
      <t>m</t>
    </r>
    <r>
      <rPr>
        <vertAlign val="superscript"/>
        <sz val="9"/>
        <rFont val="Arial"/>
        <family val="2"/>
      </rPr>
      <t>2</t>
    </r>
  </si>
  <si>
    <t>MN</t>
  </si>
  <si>
    <r>
      <t>f</t>
    </r>
    <r>
      <rPr>
        <vertAlign val="subscript"/>
        <sz val="9"/>
        <rFont val="Arial"/>
        <family val="2"/>
      </rPr>
      <t>c28</t>
    </r>
  </si>
  <si>
    <r>
      <t>g</t>
    </r>
    <r>
      <rPr>
        <vertAlign val="subscript"/>
        <sz val="9"/>
        <rFont val="Arial"/>
        <family val="2"/>
      </rPr>
      <t>b</t>
    </r>
  </si>
  <si>
    <r>
      <t>f</t>
    </r>
    <r>
      <rPr>
        <vertAlign val="subscript"/>
        <sz val="9"/>
        <rFont val="Arial"/>
        <family val="2"/>
      </rPr>
      <t>ck</t>
    </r>
  </si>
  <si>
    <r>
      <t>g</t>
    </r>
    <r>
      <rPr>
        <vertAlign val="subscript"/>
        <sz val="9"/>
        <rFont val="Arial"/>
        <family val="2"/>
      </rPr>
      <t>C</t>
    </r>
  </si>
  <si>
    <r>
      <t>v</t>
    </r>
    <r>
      <rPr>
        <vertAlign val="subscript"/>
        <sz val="9"/>
        <rFont val="Arial"/>
        <family val="2"/>
      </rPr>
      <t>Rd,c</t>
    </r>
  </si>
  <si>
    <t>a</t>
  </si>
  <si>
    <r>
      <t>Ø</t>
    </r>
    <r>
      <rPr>
        <vertAlign val="subscript"/>
        <sz val="9"/>
        <rFont val="Arial"/>
        <family val="2"/>
      </rPr>
      <t>4</t>
    </r>
  </si>
  <si>
    <r>
      <t xml:space="preserve">= </t>
    </r>
    <r>
      <rPr>
        <sz val="9"/>
        <rFont val="Symbol"/>
        <family val="1"/>
      </rPr>
      <t>p</t>
    </r>
    <r>
      <rPr>
        <sz val="9"/>
        <rFont val="Arial"/>
        <family val="0"/>
      </rPr>
      <t>/4.Ø</t>
    </r>
    <r>
      <rPr>
        <vertAlign val="subscript"/>
        <sz val="9"/>
        <rFont val="Arial"/>
        <family val="2"/>
      </rPr>
      <t>1</t>
    </r>
    <r>
      <rPr>
        <vertAlign val="superscript"/>
        <sz val="9"/>
        <rFont val="Arial"/>
        <family val="2"/>
      </rPr>
      <t>2</t>
    </r>
  </si>
  <si>
    <r>
      <t xml:space="preserve">= </t>
    </r>
    <r>
      <rPr>
        <sz val="9"/>
        <rFont val="Symbol"/>
        <family val="1"/>
      </rPr>
      <t>p</t>
    </r>
    <r>
      <rPr>
        <sz val="9"/>
        <rFont val="Arial"/>
        <family val="0"/>
      </rPr>
      <t>/4.Ø</t>
    </r>
    <r>
      <rPr>
        <vertAlign val="sub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2</t>
    </r>
  </si>
  <si>
    <r>
      <t xml:space="preserve">= </t>
    </r>
    <r>
      <rPr>
        <sz val="9"/>
        <rFont val="Symbol"/>
        <family val="1"/>
      </rPr>
      <t>p</t>
    </r>
    <r>
      <rPr>
        <sz val="9"/>
        <rFont val="Arial"/>
        <family val="0"/>
      </rPr>
      <t>/4.Ø</t>
    </r>
    <r>
      <rPr>
        <vertAlign val="subscript"/>
        <sz val="9"/>
        <rFont val="Arial"/>
        <family val="2"/>
      </rPr>
      <t>4</t>
    </r>
    <r>
      <rPr>
        <vertAlign val="superscript"/>
        <sz val="9"/>
        <rFont val="Arial"/>
        <family val="2"/>
      </rPr>
      <t>2</t>
    </r>
  </si>
  <si>
    <r>
      <t>Ø</t>
    </r>
    <r>
      <rPr>
        <vertAlign val="subscript"/>
        <sz val="9"/>
        <rFont val="Arial"/>
        <family val="2"/>
      </rPr>
      <t>4</t>
    </r>
  </si>
  <si>
    <r>
      <t>S</t>
    </r>
    <r>
      <rPr>
        <vertAlign val="subscript"/>
        <sz val="9"/>
        <rFont val="Arial"/>
        <family val="2"/>
      </rPr>
      <t>4</t>
    </r>
  </si>
  <si>
    <r>
      <t>Q</t>
    </r>
    <r>
      <rPr>
        <vertAlign val="subscript"/>
        <sz val="9"/>
        <rFont val="Arial"/>
        <family val="2"/>
      </rPr>
      <t>1</t>
    </r>
  </si>
  <si>
    <r>
      <t>Q</t>
    </r>
    <r>
      <rPr>
        <vertAlign val="subscript"/>
        <sz val="9"/>
        <rFont val="Arial"/>
        <family val="2"/>
      </rPr>
      <t>2</t>
    </r>
  </si>
  <si>
    <r>
      <t>Q</t>
    </r>
    <r>
      <rPr>
        <vertAlign val="subscript"/>
        <sz val="9"/>
        <rFont val="Arial"/>
        <family val="2"/>
      </rPr>
      <t>0</t>
    </r>
  </si>
  <si>
    <r>
      <t>= Q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.S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/S</t>
    </r>
    <r>
      <rPr>
        <vertAlign val="subscript"/>
        <sz val="9"/>
        <rFont val="Arial"/>
        <family val="2"/>
      </rPr>
      <t>4</t>
    </r>
  </si>
  <si>
    <r>
      <t>= Q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 xml:space="preserve"> - Q</t>
    </r>
    <r>
      <rPr>
        <vertAlign val="subscript"/>
        <sz val="9"/>
        <rFont val="Arial"/>
        <family val="2"/>
      </rPr>
      <t>1</t>
    </r>
  </si>
  <si>
    <r>
      <t>Ø</t>
    </r>
    <r>
      <rPr>
        <vertAlign val="subscript"/>
        <sz val="9"/>
        <rFont val="Arial"/>
        <family val="2"/>
      </rPr>
      <t>5</t>
    </r>
  </si>
  <si>
    <r>
      <t>Ø</t>
    </r>
    <r>
      <rPr>
        <vertAlign val="subscript"/>
        <sz val="9"/>
        <rFont val="Arial"/>
        <family val="2"/>
      </rPr>
      <t>6</t>
    </r>
  </si>
  <si>
    <r>
      <t>u</t>
    </r>
    <r>
      <rPr>
        <vertAlign val="subscript"/>
        <sz val="9"/>
        <rFont val="Arial"/>
        <family val="2"/>
      </rPr>
      <t>int</t>
    </r>
  </si>
  <si>
    <r>
      <t>u</t>
    </r>
    <r>
      <rPr>
        <vertAlign val="subscript"/>
        <sz val="9"/>
        <rFont val="Arial"/>
        <family val="2"/>
      </rPr>
      <t>ext</t>
    </r>
  </si>
  <si>
    <r>
      <t xml:space="preserve">= </t>
    </r>
    <r>
      <rPr>
        <sz val="9"/>
        <rFont val="Symbol"/>
        <family val="1"/>
      </rPr>
      <t>p</t>
    </r>
    <r>
      <rPr>
        <sz val="9"/>
        <rFont val="Arial"/>
        <family val="0"/>
      </rPr>
      <t>.Ø</t>
    </r>
    <r>
      <rPr>
        <vertAlign val="subscript"/>
        <sz val="9"/>
        <rFont val="Arial"/>
        <family val="2"/>
      </rPr>
      <t>5</t>
    </r>
  </si>
  <si>
    <r>
      <t xml:space="preserve">= </t>
    </r>
    <r>
      <rPr>
        <sz val="9"/>
        <rFont val="Symbol"/>
        <family val="1"/>
      </rPr>
      <t>p</t>
    </r>
    <r>
      <rPr>
        <sz val="9"/>
        <rFont val="Arial"/>
        <family val="0"/>
      </rPr>
      <t>.Ø</t>
    </r>
    <r>
      <rPr>
        <vertAlign val="subscript"/>
        <sz val="9"/>
        <rFont val="Arial"/>
        <family val="2"/>
      </rPr>
      <t>6</t>
    </r>
  </si>
  <si>
    <r>
      <t>Ø</t>
    </r>
    <r>
      <rPr>
        <vertAlign val="subscript"/>
        <sz val="9"/>
        <rFont val="Arial"/>
        <family val="2"/>
      </rPr>
      <t>7</t>
    </r>
  </si>
  <si>
    <r>
      <t>Ø</t>
    </r>
    <r>
      <rPr>
        <vertAlign val="subscript"/>
        <sz val="9"/>
        <rFont val="Arial"/>
        <family val="2"/>
      </rPr>
      <t>8</t>
    </r>
  </si>
  <si>
    <r>
      <t>S</t>
    </r>
    <r>
      <rPr>
        <vertAlign val="subscript"/>
        <sz val="9"/>
        <rFont val="Arial"/>
        <family val="2"/>
      </rPr>
      <t>7</t>
    </r>
  </si>
  <si>
    <r>
      <t>S</t>
    </r>
    <r>
      <rPr>
        <vertAlign val="subscript"/>
        <sz val="9"/>
        <rFont val="Arial"/>
        <family val="2"/>
      </rPr>
      <t>8</t>
    </r>
  </si>
  <si>
    <r>
      <t>= (</t>
    </r>
    <r>
      <rPr>
        <sz val="9"/>
        <rFont val="Symbol"/>
        <family val="1"/>
      </rPr>
      <t>p</t>
    </r>
    <r>
      <rPr>
        <sz val="9"/>
        <rFont val="Arial"/>
        <family val="0"/>
      </rPr>
      <t>/4).Ø</t>
    </r>
    <r>
      <rPr>
        <vertAlign val="subscript"/>
        <sz val="9"/>
        <rFont val="Arial"/>
        <family val="2"/>
      </rPr>
      <t>7</t>
    </r>
    <r>
      <rPr>
        <vertAlign val="superscript"/>
        <sz val="9"/>
        <rFont val="Arial"/>
        <family val="2"/>
      </rPr>
      <t>2</t>
    </r>
  </si>
  <si>
    <r>
      <t>= (</t>
    </r>
    <r>
      <rPr>
        <sz val="9"/>
        <rFont val="Symbol"/>
        <family val="1"/>
      </rPr>
      <t>p</t>
    </r>
    <r>
      <rPr>
        <sz val="9"/>
        <rFont val="Arial"/>
        <family val="0"/>
      </rPr>
      <t>/4).Ø</t>
    </r>
    <r>
      <rPr>
        <vertAlign val="subscript"/>
        <sz val="9"/>
        <rFont val="Arial"/>
        <family val="2"/>
      </rPr>
      <t>8</t>
    </r>
    <r>
      <rPr>
        <vertAlign val="superscript"/>
        <sz val="9"/>
        <rFont val="Arial"/>
        <family val="2"/>
      </rPr>
      <t>2</t>
    </r>
  </si>
  <si>
    <r>
      <t>T</t>
    </r>
    <r>
      <rPr>
        <vertAlign val="subscript"/>
        <sz val="9"/>
        <rFont val="Arial"/>
        <family val="2"/>
      </rPr>
      <t>1</t>
    </r>
  </si>
  <si>
    <r>
      <t>= Q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.S</t>
    </r>
    <r>
      <rPr>
        <vertAlign val="subscript"/>
        <sz val="9"/>
        <rFont val="Arial"/>
        <family val="2"/>
      </rPr>
      <t>8</t>
    </r>
    <r>
      <rPr>
        <sz val="9"/>
        <rFont val="Arial"/>
        <family val="0"/>
      </rPr>
      <t>/S</t>
    </r>
    <r>
      <rPr>
        <vertAlign val="subscript"/>
        <sz val="9"/>
        <rFont val="Arial"/>
        <family val="2"/>
      </rPr>
      <t>1</t>
    </r>
  </si>
  <si>
    <r>
      <t>= Q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.(S</t>
    </r>
    <r>
      <rPr>
        <vertAlign val="subscript"/>
        <sz val="9"/>
        <rFont val="Arial"/>
        <family val="2"/>
      </rPr>
      <t>4</t>
    </r>
    <r>
      <rPr>
        <sz val="9"/>
        <rFont val="Arial"/>
        <family val="0"/>
      </rPr>
      <t>-S</t>
    </r>
    <r>
      <rPr>
        <vertAlign val="subscript"/>
        <sz val="9"/>
        <rFont val="Arial"/>
        <family val="2"/>
      </rPr>
      <t>7</t>
    </r>
    <r>
      <rPr>
        <sz val="9"/>
        <rFont val="Arial"/>
        <family val="0"/>
      </rPr>
      <t>)/(S</t>
    </r>
    <r>
      <rPr>
        <vertAlign val="subscript"/>
        <sz val="9"/>
        <rFont val="Arial"/>
        <family val="2"/>
      </rPr>
      <t>4</t>
    </r>
    <r>
      <rPr>
        <sz val="9"/>
        <rFont val="Arial"/>
        <family val="0"/>
      </rPr>
      <t>-S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</si>
  <si>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T</t>
    </r>
    <r>
      <rPr>
        <vertAlign val="subscript"/>
        <sz val="9"/>
        <rFont val="Arial"/>
        <family val="2"/>
      </rPr>
      <t>2</t>
    </r>
  </si>
  <si>
    <r>
      <t>= T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/(u</t>
    </r>
    <r>
      <rPr>
        <vertAlign val="subscript"/>
        <sz val="9"/>
        <rFont val="Arial"/>
        <family val="2"/>
      </rPr>
      <t>int</t>
    </r>
    <r>
      <rPr>
        <sz val="9"/>
        <rFont val="Arial"/>
        <family val="0"/>
      </rPr>
      <t>.d)</t>
    </r>
  </si>
  <si>
    <r>
      <t>= T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/(u</t>
    </r>
    <r>
      <rPr>
        <vertAlign val="subscript"/>
        <sz val="9"/>
        <rFont val="Arial"/>
        <family val="2"/>
      </rPr>
      <t>ext</t>
    </r>
    <r>
      <rPr>
        <sz val="9"/>
        <rFont val="Arial"/>
        <family val="0"/>
      </rPr>
      <t>.d)</t>
    </r>
  </si>
  <si>
    <t>Données</t>
  </si>
  <si>
    <r>
      <t>= Ø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- 2a</t>
    </r>
  </si>
  <si>
    <r>
      <t>= Ø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 xml:space="preserve"> + 2a</t>
    </r>
  </si>
  <si>
    <r>
      <t>= Ø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 xml:space="preserve"> + 4a</t>
    </r>
  </si>
  <si>
    <r>
      <t>= Ø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- 4a</t>
    </r>
  </si>
  <si>
    <t>hauteur utile</t>
  </si>
  <si>
    <t>= 0 à 2d</t>
  </si>
  <si>
    <r>
      <t xml:space="preserve">= </t>
    </r>
    <r>
      <rPr>
        <sz val="9"/>
        <rFont val="Symbol"/>
        <family val="1"/>
      </rPr>
      <t>p</t>
    </r>
    <r>
      <rPr>
        <sz val="9"/>
        <rFont val="Arial"/>
        <family val="0"/>
      </rPr>
      <t>.Ø</t>
    </r>
    <r>
      <rPr>
        <vertAlign val="subscript"/>
        <sz val="9"/>
        <rFont val="Arial"/>
        <family val="2"/>
      </rPr>
      <t>8</t>
    </r>
  </si>
  <si>
    <r>
      <t xml:space="preserve">= </t>
    </r>
    <r>
      <rPr>
        <sz val="9"/>
        <rFont val="Symbol"/>
        <family val="1"/>
      </rPr>
      <t>p</t>
    </r>
    <r>
      <rPr>
        <sz val="9"/>
        <rFont val="Arial"/>
        <family val="0"/>
      </rPr>
      <t>.Ø</t>
    </r>
    <r>
      <rPr>
        <vertAlign val="subscript"/>
        <sz val="9"/>
        <rFont val="Arial"/>
        <family val="2"/>
      </rPr>
      <t>7</t>
    </r>
  </si>
  <si>
    <r>
      <t>Ø</t>
    </r>
    <r>
      <rPr>
        <vertAlign val="subscript"/>
        <sz val="9"/>
        <rFont val="Arial"/>
        <family val="2"/>
      </rPr>
      <t>8</t>
    </r>
  </si>
  <si>
    <r>
      <t>v</t>
    </r>
    <r>
      <rPr>
        <vertAlign val="subscript"/>
        <sz val="9"/>
        <rFont val="Arial"/>
        <family val="2"/>
      </rPr>
      <t>min</t>
    </r>
  </si>
  <si>
    <t>% d'armatures longitudinales</t>
  </si>
  <si>
    <r>
      <t>r</t>
    </r>
    <r>
      <rPr>
        <vertAlign val="subscript"/>
        <sz val="9"/>
        <rFont val="Arial"/>
        <family val="2"/>
      </rPr>
      <t>l</t>
    </r>
  </si>
  <si>
    <r>
      <t>= (0,18/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).k.(100</t>
    </r>
    <r>
      <rPr>
        <sz val="9"/>
        <rFont val="Symbol"/>
        <family val="1"/>
      </rPr>
      <t>r</t>
    </r>
    <r>
      <rPr>
        <vertAlign val="subscript"/>
        <sz val="9"/>
        <rFont val="Arial"/>
        <family val="2"/>
      </rPr>
      <t>l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1/3</t>
    </r>
  </si>
  <si>
    <t>k</t>
  </si>
  <si>
    <r>
      <t>= 0,035k</t>
    </r>
    <r>
      <rPr>
        <vertAlign val="superscript"/>
        <sz val="9"/>
        <rFont val="Arial"/>
        <family val="2"/>
      </rPr>
      <t>1,5</t>
    </r>
    <r>
      <rPr>
        <sz val="9"/>
        <rFont val="Arial"/>
        <family val="2"/>
      </rPr>
      <t>.f</t>
    </r>
    <r>
      <rPr>
        <vertAlign val="subscript"/>
        <sz val="9"/>
        <rFont val="Arial"/>
        <family val="2"/>
      </rPr>
      <t>ck</t>
    </r>
  </si>
  <si>
    <t>Max des deux</t>
  </si>
  <si>
    <r>
      <t>v</t>
    </r>
    <r>
      <rPr>
        <vertAlign val="subscript"/>
        <sz val="9"/>
        <rFont val="Arial"/>
        <family val="2"/>
      </rPr>
      <t>Rd</t>
    </r>
  </si>
  <si>
    <r>
      <t>= v</t>
    </r>
    <r>
      <rPr>
        <vertAlign val="subscript"/>
        <sz val="9"/>
        <rFont val="Arial"/>
        <family val="2"/>
      </rPr>
      <t>Rd,c</t>
    </r>
    <r>
      <rPr>
        <sz val="9"/>
        <rFont val="Arial"/>
        <family val="0"/>
      </rPr>
      <t>.2d/a</t>
    </r>
  </si>
  <si>
    <r>
      <t>= Max(</t>
    </r>
    <r>
      <rPr>
        <sz val="9"/>
        <rFont val="Symbol"/>
        <family val="1"/>
      </rPr>
      <t>t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;</t>
    </r>
    <r>
      <rPr>
        <sz val="9"/>
        <rFont val="Symbol"/>
        <family val="1"/>
      </rPr>
      <t>t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)/v</t>
    </r>
    <r>
      <rPr>
        <vertAlign val="subscript"/>
        <sz val="9"/>
        <rFont val="Arial"/>
        <family val="2"/>
      </rPr>
      <t>Rd</t>
    </r>
  </si>
  <si>
    <t>charge ELU en pied de fût</t>
  </si>
  <si>
    <t>hauteur semelle</t>
  </si>
  <si>
    <t>voir figure</t>
  </si>
  <si>
    <t>diamètre semelle</t>
  </si>
  <si>
    <t>béton</t>
  </si>
  <si>
    <r>
      <t>= Min[2 ; 1+(0,2/d)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2"/>
      </rPr>
      <t>]</t>
    </r>
  </si>
  <si>
    <t>8/12/2018</t>
  </si>
  <si>
    <t>H. Thonier</t>
  </si>
  <si>
    <t>L'auteur n'est pas</t>
  </si>
  <si>
    <t>responsable de</t>
  </si>
  <si>
    <t>l'utilisation faite</t>
  </si>
  <si>
    <t>de ce programme</t>
  </si>
  <si>
    <t>188 Calcul des semelles circulaires selon l'Eurocode 2</t>
  </si>
  <si>
    <t>188 Calcul des semelles circulaires selon le BAEL</t>
  </si>
  <si>
    <t>part interne</t>
  </si>
  <si>
    <t>part externe</t>
  </si>
  <si>
    <t>interne mi-feuillet</t>
  </si>
  <si>
    <t>externe mi-feuillet</t>
  </si>
  <si>
    <t>périmètre interne mi-feuillet</t>
  </si>
  <si>
    <t>périmètre externe mi-feuillet</t>
  </si>
  <si>
    <t>interne inférieur</t>
  </si>
  <si>
    <t>externe inférieur</t>
  </si>
  <si>
    <t>effort intérieur</t>
  </si>
  <si>
    <t>effort extérieur</t>
  </si>
  <si>
    <t>aire extérieure au cône au niveau du sol</t>
  </si>
  <si>
    <t>aire intérieure au cône au niveau du sol</t>
  </si>
  <si>
    <t>cisaillement cône interne</t>
  </si>
  <si>
    <t>cisaillement cône externe</t>
  </si>
  <si>
    <t>Pour toute valeur de a entre 0 et 2d</t>
  </si>
  <si>
    <t>diamètre intérieur fût</t>
  </si>
  <si>
    <t>diamètre extérieur fût</t>
  </si>
  <si>
    <r>
      <t>= T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/(u</t>
    </r>
    <r>
      <rPr>
        <vertAlign val="subscript"/>
        <sz val="9"/>
        <rFont val="Arial"/>
        <family val="2"/>
      </rPr>
      <t>int</t>
    </r>
    <r>
      <rPr>
        <sz val="9"/>
        <rFont val="Arial"/>
        <family val="0"/>
      </rPr>
      <t>.h)</t>
    </r>
  </si>
  <si>
    <r>
      <t>= T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/(u</t>
    </r>
    <r>
      <rPr>
        <vertAlign val="subscript"/>
        <sz val="9"/>
        <rFont val="Arial"/>
        <family val="2"/>
      </rPr>
      <t>ext</t>
    </r>
    <r>
      <rPr>
        <sz val="9"/>
        <rFont val="Arial"/>
        <family val="0"/>
      </rPr>
      <t>.h)</t>
    </r>
  </si>
  <si>
    <r>
      <t>t</t>
    </r>
    <r>
      <rPr>
        <vertAlign val="subscript"/>
        <sz val="9"/>
        <rFont val="Arial"/>
        <family val="2"/>
      </rPr>
      <t>R1</t>
    </r>
  </si>
  <si>
    <r>
      <t>t</t>
    </r>
    <r>
      <rPr>
        <vertAlign val="subscript"/>
        <sz val="9"/>
        <rFont val="Arial"/>
        <family val="2"/>
      </rPr>
      <t>R2</t>
    </r>
  </si>
  <si>
    <r>
      <t>t</t>
    </r>
    <r>
      <rPr>
        <vertAlign val="subscript"/>
        <sz val="9"/>
        <rFont val="Arial"/>
        <family val="2"/>
      </rPr>
      <t>3</t>
    </r>
  </si>
  <si>
    <r>
      <t>t</t>
    </r>
    <r>
      <rPr>
        <vertAlign val="subscript"/>
        <sz val="9"/>
        <rFont val="Arial"/>
        <family val="2"/>
      </rPr>
      <t>4</t>
    </r>
  </si>
  <si>
    <r>
      <t>= T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/(u</t>
    </r>
    <r>
      <rPr>
        <vertAlign val="subscript"/>
        <sz val="9"/>
        <rFont val="Arial"/>
        <family val="2"/>
      </rPr>
      <t>int</t>
    </r>
    <r>
      <rPr>
        <sz val="9"/>
        <rFont val="Arial"/>
        <family val="0"/>
      </rPr>
      <t>.d)</t>
    </r>
  </si>
  <si>
    <r>
      <t>= (0,05+1,5</t>
    </r>
    <r>
      <rPr>
        <sz val="9"/>
        <rFont val="Symbol"/>
        <family val="1"/>
      </rPr>
      <t>r</t>
    </r>
    <r>
      <rPr>
        <vertAlign val="subscript"/>
        <sz val="9"/>
        <rFont val="Arial"/>
        <family val="2"/>
      </rPr>
      <t>l</t>
    </r>
    <r>
      <rPr>
        <sz val="9"/>
        <rFont val="Arial"/>
        <family val="0"/>
      </rPr>
      <t>).f</t>
    </r>
    <r>
      <rPr>
        <vertAlign val="subscript"/>
        <sz val="9"/>
        <rFont val="Arial"/>
        <family val="2"/>
      </rPr>
      <t>c28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b</t>
    </r>
  </si>
  <si>
    <t>§ A.3.2.5 et § A.5.2.42</t>
  </si>
  <si>
    <r>
      <t>f</t>
    </r>
    <r>
      <rPr>
        <vertAlign val="subscript"/>
        <sz val="9"/>
        <rFont val="Arial"/>
        <family val="2"/>
      </rPr>
      <t>ywd,ef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</si>
  <si>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</si>
  <si>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S</t>
    </r>
  </si>
  <si>
    <t>acier éventuellement</t>
  </si>
  <si>
    <r>
      <t>= 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</si>
  <si>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yd</t>
    </r>
  </si>
  <si>
    <r>
      <t>= Min[f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 xml:space="preserve"> ; 250(1+d)]</t>
    </r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</si>
  <si>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  <r>
      <rPr>
        <vertAlign val="subscript"/>
        <sz val="9"/>
        <rFont val="Arial"/>
        <family val="2"/>
      </rPr>
      <t>r</t>
    </r>
    <r>
      <rPr>
        <sz val="9"/>
        <rFont val="Arial"/>
        <family val="2"/>
      </rPr>
      <t>)</t>
    </r>
    <r>
      <rPr>
        <vertAlign val="subscript"/>
        <sz val="9"/>
        <rFont val="Arial"/>
        <family val="2"/>
      </rPr>
      <t>int</t>
    </r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</si>
  <si>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  <r>
      <rPr>
        <vertAlign val="subscript"/>
        <sz val="9"/>
        <rFont val="Arial"/>
        <family val="2"/>
      </rPr>
      <t>r</t>
    </r>
    <r>
      <rPr>
        <sz val="9"/>
        <rFont val="Arial"/>
        <family val="2"/>
      </rPr>
      <t>)</t>
    </r>
    <r>
      <rPr>
        <vertAlign val="subscript"/>
        <sz val="9"/>
        <rFont val="Arial"/>
        <family val="2"/>
      </rPr>
      <t>ext</t>
    </r>
  </si>
  <si>
    <t>ratio &lt; 1 ?</t>
  </si>
  <si>
    <r>
      <t>u</t>
    </r>
    <r>
      <rPr>
        <vertAlign val="subscript"/>
        <sz val="9"/>
        <rFont val="Arial"/>
        <family val="2"/>
      </rPr>
      <t>i</t>
    </r>
  </si>
  <si>
    <r>
      <t>u</t>
    </r>
    <r>
      <rPr>
        <vertAlign val="subscript"/>
        <sz val="9"/>
        <rFont val="Arial"/>
        <family val="2"/>
      </rPr>
      <t>e</t>
    </r>
  </si>
  <si>
    <t>b</t>
  </si>
  <si>
    <t>e</t>
  </si>
  <si>
    <r>
      <t>M</t>
    </r>
    <r>
      <rPr>
        <vertAlign val="subscript"/>
        <sz val="9"/>
        <rFont val="Arial"/>
        <family val="2"/>
      </rPr>
      <t>Ed</t>
    </r>
  </si>
  <si>
    <t>MNm</t>
  </si>
  <si>
    <t>moment</t>
  </si>
  <si>
    <t>excentricité</t>
  </si>
  <si>
    <r>
      <t>Q</t>
    </r>
    <r>
      <rPr>
        <vertAlign val="subscript"/>
        <sz val="9"/>
        <rFont val="Arial"/>
        <family val="2"/>
      </rPr>
      <t>Ed</t>
    </r>
  </si>
  <si>
    <t>charge de calcul</t>
  </si>
  <si>
    <r>
      <t>t</t>
    </r>
    <r>
      <rPr>
        <vertAlign val="subscript"/>
        <sz val="9"/>
        <rFont val="Arial"/>
        <family val="2"/>
      </rPr>
      <t>nu,1</t>
    </r>
  </si>
  <si>
    <r>
      <t>t</t>
    </r>
    <r>
      <rPr>
        <vertAlign val="subscript"/>
        <sz val="9"/>
        <rFont val="Arial"/>
        <family val="2"/>
      </rPr>
      <t>nu,2</t>
    </r>
  </si>
  <si>
    <r>
      <t>= Q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/(u</t>
    </r>
    <r>
      <rPr>
        <vertAlign val="subscript"/>
        <sz val="9"/>
        <rFont val="Arial"/>
        <family val="2"/>
      </rPr>
      <t>i</t>
    </r>
    <r>
      <rPr>
        <sz val="9"/>
        <rFont val="Arial"/>
        <family val="0"/>
      </rPr>
      <t>.d)</t>
    </r>
  </si>
  <si>
    <r>
      <t>n</t>
    </r>
  </si>
  <si>
    <r>
      <t>=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</si>
  <si>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= 0,6(1-f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/250)</t>
    </r>
  </si>
  <si>
    <t>Aux nus du fût</t>
  </si>
  <si>
    <r>
      <t>= Q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/(u</t>
    </r>
    <r>
      <rPr>
        <vertAlign val="subscript"/>
        <sz val="9"/>
        <rFont val="Arial"/>
        <family val="2"/>
      </rPr>
      <t>e</t>
    </r>
    <r>
      <rPr>
        <sz val="9"/>
        <rFont val="Arial"/>
        <family val="0"/>
      </rPr>
      <t>.d)</t>
    </r>
  </si>
  <si>
    <r>
      <t>f</t>
    </r>
    <r>
      <rPr>
        <vertAlign val="subscript"/>
        <sz val="9"/>
        <rFont val="Arial"/>
        <family val="2"/>
      </rPr>
      <t>cd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</si>
  <si>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/m</t>
    </r>
  </si>
  <si>
    <t>coeff. majorateur Eq. (6.42)</t>
  </si>
  <si>
    <r>
      <t>= 0,045f</t>
    </r>
    <r>
      <rPr>
        <vertAlign val="subscript"/>
        <sz val="9"/>
        <rFont val="Arial"/>
        <family val="2"/>
      </rPr>
      <t>c28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b</t>
    </r>
    <r>
      <rPr>
        <sz val="9"/>
        <rFont val="Arial"/>
        <family val="2"/>
      </rPr>
      <t xml:space="preserve">  (§ A.5.5.42)</t>
    </r>
  </si>
  <si>
    <r>
      <t>= 0,4</t>
    </r>
    <r>
      <rPr>
        <sz val="9"/>
        <rFont val="Symbol"/>
        <family val="1"/>
      </rPr>
      <t>n</t>
    </r>
    <r>
      <rPr>
        <sz val="9"/>
        <rFont val="Arial"/>
        <family val="0"/>
      </rPr>
      <t>.fcd</t>
    </r>
  </si>
  <si>
    <r>
      <t xml:space="preserve">périmètre intérieur = </t>
    </r>
    <r>
      <rPr>
        <sz val="9"/>
        <rFont val="Symbol"/>
        <family val="1"/>
      </rPr>
      <t>p</t>
    </r>
    <r>
      <rPr>
        <sz val="9"/>
        <rFont val="Arial"/>
        <family val="0"/>
      </rPr>
      <t>.Ø</t>
    </r>
    <r>
      <rPr>
        <vertAlign val="subscript"/>
        <sz val="9"/>
        <rFont val="Arial"/>
        <family val="2"/>
      </rPr>
      <t>2</t>
    </r>
  </si>
  <si>
    <r>
      <t xml:space="preserve">périmètre extérieur = </t>
    </r>
    <r>
      <rPr>
        <sz val="9"/>
        <rFont val="Symbol"/>
        <family val="1"/>
      </rPr>
      <t>p</t>
    </r>
    <r>
      <rPr>
        <sz val="9"/>
        <rFont val="Arial"/>
        <family val="0"/>
      </rPr>
      <t>.Ø</t>
    </r>
    <r>
      <rPr>
        <vertAlign val="subscript"/>
        <sz val="9"/>
        <rFont val="Arial"/>
        <family val="2"/>
      </rPr>
      <t>3</t>
    </r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</si>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</sst>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0.0"/>
    <numFmt numFmtId="169" formatCode="0.0%"/>
  </numFmts>
  <fonts count="11"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color indexed="12"/>
      <name val="Arial"/>
      <family val="0"/>
    </font>
    <font>
      <b/>
      <sz val="9"/>
      <color indexed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ck"/>
      <right style="thick"/>
      <top style="hair"/>
      <bottom style="thick"/>
    </border>
    <border>
      <left style="thin"/>
      <right style="thin"/>
      <top style="thick"/>
      <bottom style="hair"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0" fontId="0" fillId="2" borderId="6" xfId="2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5" fontId="0" fillId="4" borderId="4" xfId="0" applyNumberFormat="1" applyFill="1" applyBorder="1" applyAlignment="1">
      <alignment/>
    </xf>
    <xf numFmtId="165" fontId="5" fillId="4" borderId="5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9" fontId="8" fillId="0" borderId="0" xfId="21" applyNumberFormat="1" applyFont="1" applyAlignment="1">
      <alignment horizontal="center"/>
    </xf>
    <xf numFmtId="0" fontId="7" fillId="0" borderId="0" xfId="0" applyFont="1" applyAlignment="1">
      <alignment/>
    </xf>
    <xf numFmtId="165" fontId="0" fillId="3" borderId="4" xfId="0" applyNumberFormat="1" applyFon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8" fillId="0" borderId="0" xfId="0" applyFont="1" applyAlignment="1">
      <alignment/>
    </xf>
    <xf numFmtId="168" fontId="0" fillId="0" borderId="7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169" fontId="0" fillId="3" borderId="8" xfId="21" applyNumberForma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9" fontId="8" fillId="0" borderId="8" xfId="21" applyNumberFormat="1" applyFont="1" applyBorder="1" applyAlignment="1">
      <alignment horizontal="center"/>
    </xf>
    <xf numFmtId="0" fontId="8" fillId="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9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0" fontId="0" fillId="2" borderId="6" xfId="21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view="pageBreakPreview" zoomScaleSheetLayoutView="100" workbookViewId="0" topLeftCell="A10">
      <selection activeCell="D35" sqref="D35"/>
    </sheetView>
  </sheetViews>
  <sheetFormatPr defaultColWidth="11.421875" defaultRowHeight="12"/>
  <cols>
    <col min="1" max="1" width="8.7109375" style="1" customWidth="1"/>
    <col min="2" max="2" width="8.140625" style="3" customWidth="1"/>
    <col min="3" max="3" width="8.140625" style="0" customWidth="1"/>
    <col min="4" max="4" width="8.8515625" style="0" customWidth="1"/>
    <col min="5" max="16384" width="8.140625" style="0" customWidth="1"/>
  </cols>
  <sheetData>
    <row r="1" spans="1:7" ht="12">
      <c r="A1" s="7" t="s">
        <v>82</v>
      </c>
      <c r="G1" s="24" t="s">
        <v>75</v>
      </c>
    </row>
    <row r="2" ht="12">
      <c r="G2" s="25" t="s">
        <v>76</v>
      </c>
    </row>
    <row r="3" spans="1:7" ht="12.75" thickBot="1">
      <c r="A3" s="8"/>
      <c r="B3" s="8" t="s">
        <v>49</v>
      </c>
      <c r="G3" s="25" t="s">
        <v>77</v>
      </c>
    </row>
    <row r="4" spans="1:7" ht="14.25" thickTop="1">
      <c r="A4" s="1" t="s">
        <v>14</v>
      </c>
      <c r="B4" s="9">
        <v>25</v>
      </c>
      <c r="C4" t="s">
        <v>10</v>
      </c>
      <c r="D4" t="s">
        <v>73</v>
      </c>
      <c r="G4" s="25" t="s">
        <v>78</v>
      </c>
    </row>
    <row r="5" spans="1:7" ht="13.5">
      <c r="A5" s="2" t="s">
        <v>15</v>
      </c>
      <c r="B5" s="10">
        <v>1.5</v>
      </c>
      <c r="G5" s="25" t="s">
        <v>79</v>
      </c>
    </row>
    <row r="6" spans="1:7" ht="13.5">
      <c r="A6" s="1" t="s">
        <v>0</v>
      </c>
      <c r="B6" s="10">
        <v>9.6</v>
      </c>
      <c r="C6" t="s">
        <v>11</v>
      </c>
      <c r="D6" t="s">
        <v>71</v>
      </c>
      <c r="G6" s="25" t="s">
        <v>80</v>
      </c>
    </row>
    <row r="7" spans="1:4" ht="13.5">
      <c r="A7" s="1" t="s">
        <v>1</v>
      </c>
      <c r="B7" s="10">
        <v>9.2</v>
      </c>
      <c r="C7" t="s">
        <v>11</v>
      </c>
      <c r="D7" t="s">
        <v>71</v>
      </c>
    </row>
    <row r="8" spans="1:4" ht="13.5">
      <c r="A8" s="1" t="s">
        <v>4</v>
      </c>
      <c r="B8" s="10">
        <v>10</v>
      </c>
      <c r="C8" t="s">
        <v>11</v>
      </c>
      <c r="D8" t="s">
        <v>71</v>
      </c>
    </row>
    <row r="9" spans="1:4" ht="13.5">
      <c r="A9" s="1" t="s">
        <v>24</v>
      </c>
      <c r="B9" s="10">
        <v>26</v>
      </c>
      <c r="C9" t="s">
        <v>11</v>
      </c>
      <c r="D9" t="s">
        <v>72</v>
      </c>
    </row>
    <row r="10" spans="1:4" ht="12">
      <c r="A10" s="1" t="s">
        <v>2</v>
      </c>
      <c r="B10" s="10">
        <v>3</v>
      </c>
      <c r="C10" t="s">
        <v>11</v>
      </c>
      <c r="D10" t="s">
        <v>70</v>
      </c>
    </row>
    <row r="11" spans="1:4" ht="12">
      <c r="A11" s="1" t="s">
        <v>3</v>
      </c>
      <c r="B11" s="10">
        <v>2.8</v>
      </c>
      <c r="C11" t="s">
        <v>11</v>
      </c>
      <c r="D11" t="s">
        <v>54</v>
      </c>
    </row>
    <row r="12" spans="1:4" ht="13.5">
      <c r="A12" s="1" t="s">
        <v>28</v>
      </c>
      <c r="B12" s="10">
        <f>1.5*135</f>
        <v>202.5</v>
      </c>
      <c r="C12" t="s">
        <v>13</v>
      </c>
      <c r="D12" t="s">
        <v>69</v>
      </c>
    </row>
    <row r="13" spans="1:4" ht="14.25" thickBot="1">
      <c r="A13" s="2" t="s">
        <v>61</v>
      </c>
      <c r="B13" s="18">
        <v>0.018</v>
      </c>
      <c r="D13" t="s">
        <v>60</v>
      </c>
    </row>
    <row r="14" ht="12.75" thickTop="1">
      <c r="D14" s="4"/>
    </row>
    <row r="16" spans="1:5" ht="12">
      <c r="A16" s="1" t="s">
        <v>19</v>
      </c>
      <c r="B16" s="11">
        <f>B10/2</f>
        <v>1.5</v>
      </c>
      <c r="C16" t="s">
        <v>11</v>
      </c>
      <c r="D16" s="4" t="s">
        <v>5</v>
      </c>
      <c r="E16" t="s">
        <v>108</v>
      </c>
    </row>
    <row r="17" spans="1:4" ht="14.25">
      <c r="A17" s="1" t="s">
        <v>6</v>
      </c>
      <c r="B17" s="12">
        <f>PI()/4*(B6)^2</f>
        <v>72.38229473870884</v>
      </c>
      <c r="C17" t="s">
        <v>12</v>
      </c>
      <c r="D17" s="4" t="s">
        <v>21</v>
      </c>
    </row>
    <row r="18" spans="1:4" ht="14.25">
      <c r="A18" s="1" t="s">
        <v>7</v>
      </c>
      <c r="B18" s="12">
        <f>PI()/4*(B7)^2</f>
        <v>66.47610054996001</v>
      </c>
      <c r="C18" t="s">
        <v>12</v>
      </c>
      <c r="D18" s="4" t="s">
        <v>22</v>
      </c>
    </row>
    <row r="19" spans="1:4" ht="14.25">
      <c r="A19" s="1" t="s">
        <v>25</v>
      </c>
      <c r="B19" s="12">
        <f>PI()/4*(B9)^2</f>
        <v>530.929158456675</v>
      </c>
      <c r="C19" t="s">
        <v>12</v>
      </c>
      <c r="D19" s="4" t="s">
        <v>23</v>
      </c>
    </row>
    <row r="20" spans="1:5" ht="13.5">
      <c r="A20" s="1" t="s">
        <v>26</v>
      </c>
      <c r="B20" s="12">
        <f>B12*B17/B19</f>
        <v>27.607100591715977</v>
      </c>
      <c r="C20" t="s">
        <v>13</v>
      </c>
      <c r="D20" s="4" t="s">
        <v>29</v>
      </c>
      <c r="E20" t="s">
        <v>83</v>
      </c>
    </row>
    <row r="21" spans="1:5" ht="13.5">
      <c r="A21" s="1" t="s">
        <v>27</v>
      </c>
      <c r="B21" s="12">
        <f>B12-B20</f>
        <v>174.89289940828402</v>
      </c>
      <c r="C21" t="s">
        <v>13</v>
      </c>
      <c r="D21" s="4" t="s">
        <v>30</v>
      </c>
      <c r="E21" t="s">
        <v>84</v>
      </c>
    </row>
    <row r="22" spans="1:5" ht="13.5">
      <c r="A22" s="1" t="s">
        <v>31</v>
      </c>
      <c r="B22" s="13">
        <f>B7-2*B16</f>
        <v>6.199999999999999</v>
      </c>
      <c r="C22" t="s">
        <v>11</v>
      </c>
      <c r="D22" s="4" t="s">
        <v>50</v>
      </c>
      <c r="E22" t="s">
        <v>85</v>
      </c>
    </row>
    <row r="23" spans="1:5" ht="13.5">
      <c r="A23" s="1" t="s">
        <v>32</v>
      </c>
      <c r="B23" s="13">
        <f>B8+2*B16</f>
        <v>13</v>
      </c>
      <c r="C23" t="s">
        <v>11</v>
      </c>
      <c r="D23" s="4" t="s">
        <v>51</v>
      </c>
      <c r="E23" t="s">
        <v>86</v>
      </c>
    </row>
    <row r="24" spans="1:5" ht="13.5">
      <c r="A24" s="1" t="s">
        <v>33</v>
      </c>
      <c r="B24" s="14">
        <f>PI()*B22</f>
        <v>19.477874452256714</v>
      </c>
      <c r="C24" t="s">
        <v>11</v>
      </c>
      <c r="D24" s="4" t="s">
        <v>35</v>
      </c>
      <c r="E24" t="s">
        <v>87</v>
      </c>
    </row>
    <row r="25" spans="1:5" ht="13.5">
      <c r="A25" s="1" t="s">
        <v>34</v>
      </c>
      <c r="B25" s="14">
        <f>PI()*B23</f>
        <v>40.840704496667314</v>
      </c>
      <c r="C25" t="s">
        <v>11</v>
      </c>
      <c r="D25" s="4" t="s">
        <v>36</v>
      </c>
      <c r="E25" t="s">
        <v>88</v>
      </c>
    </row>
    <row r="26" spans="1:5" ht="13.5">
      <c r="A26" s="1" t="s">
        <v>37</v>
      </c>
      <c r="B26" s="13">
        <f>B8+4*B16</f>
        <v>16</v>
      </c>
      <c r="C26" t="s">
        <v>11</v>
      </c>
      <c r="D26" s="4" t="s">
        <v>52</v>
      </c>
      <c r="E26" t="s">
        <v>89</v>
      </c>
    </row>
    <row r="27" spans="1:5" ht="13.5">
      <c r="A27" s="1" t="s">
        <v>38</v>
      </c>
      <c r="B27" s="13">
        <f>B7-4*B16</f>
        <v>3.1999999999999993</v>
      </c>
      <c r="C27" t="s">
        <v>11</v>
      </c>
      <c r="D27" s="4" t="s">
        <v>53</v>
      </c>
      <c r="E27" t="s">
        <v>90</v>
      </c>
    </row>
    <row r="28" spans="1:5" ht="14.25">
      <c r="A28" s="1" t="s">
        <v>39</v>
      </c>
      <c r="B28" s="15">
        <f>PI()/4*B26^2</f>
        <v>201.06192982974676</v>
      </c>
      <c r="C28" t="s">
        <v>12</v>
      </c>
      <c r="D28" s="4" t="s">
        <v>41</v>
      </c>
      <c r="E28" s="26" t="s">
        <v>93</v>
      </c>
    </row>
    <row r="29" spans="1:5" ht="14.25">
      <c r="A29" s="1" t="s">
        <v>40</v>
      </c>
      <c r="B29" s="15">
        <f>IF(B27&lt;0,0,PI()/4*B27^2)</f>
        <v>8.042477193189866</v>
      </c>
      <c r="C29" t="s">
        <v>12</v>
      </c>
      <c r="D29" s="4" t="s">
        <v>42</v>
      </c>
      <c r="E29" s="26" t="s">
        <v>94</v>
      </c>
    </row>
    <row r="30" spans="1:5" ht="13.5">
      <c r="A30" s="1" t="s">
        <v>43</v>
      </c>
      <c r="B30" s="14">
        <f>B20*B29/B17</f>
        <v>3.067455621301773</v>
      </c>
      <c r="C30" t="s">
        <v>13</v>
      </c>
      <c r="D30" s="4" t="s">
        <v>44</v>
      </c>
      <c r="E30" t="s">
        <v>91</v>
      </c>
    </row>
    <row r="31" spans="1:6" ht="13.5">
      <c r="A31" s="1" t="s">
        <v>46</v>
      </c>
      <c r="B31" s="12">
        <f>B21*(B19-B28)/(B19-B17)</f>
        <v>125.81360946745562</v>
      </c>
      <c r="C31" t="s">
        <v>13</v>
      </c>
      <c r="D31" s="4" t="s">
        <v>45</v>
      </c>
      <c r="F31" t="s">
        <v>92</v>
      </c>
    </row>
    <row r="32" spans="1:5" ht="13.5">
      <c r="A32" s="2" t="s">
        <v>8</v>
      </c>
      <c r="B32" s="16">
        <f>IF(B27&lt;0,0,B30/B24/B10)</f>
        <v>0.052494701596257874</v>
      </c>
      <c r="C32" t="s">
        <v>10</v>
      </c>
      <c r="D32" s="4" t="s">
        <v>100</v>
      </c>
      <c r="E32" t="s">
        <v>95</v>
      </c>
    </row>
    <row r="33" spans="1:5" ht="13.5">
      <c r="A33" s="2" t="s">
        <v>9</v>
      </c>
      <c r="B33" s="16">
        <f>B31/B25/B10</f>
        <v>1.0268645053835304</v>
      </c>
      <c r="C33" t="s">
        <v>10</v>
      </c>
      <c r="D33" s="4" t="s">
        <v>101</v>
      </c>
      <c r="E33" t="s">
        <v>96</v>
      </c>
    </row>
    <row r="34" spans="1:4" ht="13.5">
      <c r="A34" s="2" t="s">
        <v>102</v>
      </c>
      <c r="B34" s="17">
        <f>0.045*B4/B5</f>
        <v>0.75</v>
      </c>
      <c r="C34" t="s">
        <v>10</v>
      </c>
      <c r="D34" s="4" t="s">
        <v>140</v>
      </c>
    </row>
    <row r="35" spans="1:3" ht="12">
      <c r="A35" s="5" t="s">
        <v>118</v>
      </c>
      <c r="B35" s="27">
        <f>MAX(B32:B33)/B34</f>
        <v>1.369152673844707</v>
      </c>
      <c r="C35" s="33" t="str">
        <f>IF(B35&gt;1,"KO","OK")</f>
        <v>KO</v>
      </c>
    </row>
    <row r="36" spans="1:4" ht="13.5">
      <c r="A36" s="2" t="s">
        <v>104</v>
      </c>
      <c r="B36" s="31">
        <f>B30/B24/B11</f>
        <v>0.056244323138847724</v>
      </c>
      <c r="C36" t="s">
        <v>10</v>
      </c>
      <c r="D36" s="4" t="s">
        <v>47</v>
      </c>
    </row>
    <row r="37" spans="1:4" ht="13.5">
      <c r="A37" s="2" t="s">
        <v>105</v>
      </c>
      <c r="B37" s="30">
        <f>B31/B25/B11</f>
        <v>1.1002119700537827</v>
      </c>
      <c r="C37" t="s">
        <v>10</v>
      </c>
      <c r="D37" s="4" t="s">
        <v>106</v>
      </c>
    </row>
    <row r="38" spans="1:4" ht="13.5">
      <c r="A38" s="2" t="s">
        <v>103</v>
      </c>
      <c r="B38" s="32">
        <f>(0.05+1.5*B13)*B4/B5</f>
        <v>1.2833333333333334</v>
      </c>
      <c r="C38" t="s">
        <v>10</v>
      </c>
      <c r="D38" s="4" t="s">
        <v>107</v>
      </c>
    </row>
    <row r="39" spans="1:3" ht="12">
      <c r="A39" s="5" t="s">
        <v>118</v>
      </c>
      <c r="B39" s="27">
        <f>MAX(B36:B37)/B38</f>
        <v>0.8573080286133371</v>
      </c>
      <c r="C39" s="33" t="str">
        <f>IF(B39&gt;1,"KO","OK")</f>
        <v>OK</v>
      </c>
    </row>
    <row r="40" ht="12">
      <c r="B40" s="45" t="str">
        <f>IF(MIN(B35,B39)&gt;1,"Prévoir des armatures de poinçonnement","Pas d'armatures nécessaires")</f>
        <v>Pas d'armatures nécessaires</v>
      </c>
    </row>
  </sheetData>
  <conditionalFormatting sqref="B32:B33">
    <cfRule type="cellIs" priority="1" dxfId="0" operator="greaterThan" stopIfTrue="1">
      <formula>$B$34</formula>
    </cfRule>
  </conditionalFormatting>
  <conditionalFormatting sqref="B39 B35">
    <cfRule type="cellIs" priority="2" dxfId="0" operator="greaterThan" stopIfTrue="1">
      <formula>1</formula>
    </cfRule>
  </conditionalFormatting>
  <conditionalFormatting sqref="C35 C39">
    <cfRule type="cellIs" priority="3" dxfId="0" operator="equal" stopIfTrue="1">
      <formula>"KO"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3"/>
  <legacyDrawing r:id="rId2"/>
  <oleObjects>
    <oleObject progId="Designer.Drawing.7" shapeId="7622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workbookViewId="0" topLeftCell="A1">
      <selection activeCell="E6" sqref="E6"/>
    </sheetView>
  </sheetViews>
  <sheetFormatPr defaultColWidth="11.421875" defaultRowHeight="12"/>
  <cols>
    <col min="1" max="1" width="7.8515625" style="0" customWidth="1"/>
    <col min="2" max="13" width="7.7109375" style="0" customWidth="1"/>
    <col min="14" max="14" width="8.28125" style="0" customWidth="1"/>
    <col min="15" max="15" width="7.140625" style="0" customWidth="1"/>
    <col min="16" max="16384" width="7.7109375" style="0" customWidth="1"/>
  </cols>
  <sheetData>
    <row r="1" spans="2:9" ht="12.75" thickBot="1">
      <c r="B1" s="48" t="s">
        <v>144</v>
      </c>
      <c r="C1" s="48"/>
      <c r="D1" s="48"/>
      <c r="E1" s="48"/>
      <c r="F1" s="48"/>
      <c r="G1" s="48"/>
      <c r="H1" s="48"/>
      <c r="I1" s="48"/>
    </row>
    <row r="2" spans="1:8" ht="12">
      <c r="A2" s="7" t="s">
        <v>81</v>
      </c>
      <c r="B2" s="3"/>
      <c r="H2" s="24"/>
    </row>
    <row r="3" spans="1:8" ht="12">
      <c r="A3" s="1"/>
      <c r="B3" s="3"/>
      <c r="H3" s="25" t="s">
        <v>76</v>
      </c>
    </row>
    <row r="4" spans="1:8" ht="12.75" thickBot="1">
      <c r="A4" s="46" t="s">
        <v>49</v>
      </c>
      <c r="B4" s="47"/>
      <c r="C4" s="47"/>
      <c r="H4" s="25" t="s">
        <v>77</v>
      </c>
    </row>
    <row r="5" spans="1:12" ht="14.25" thickTop="1">
      <c r="A5" s="1" t="s">
        <v>16</v>
      </c>
      <c r="B5" s="49">
        <v>25</v>
      </c>
      <c r="C5" t="s">
        <v>10</v>
      </c>
      <c r="D5" t="s">
        <v>73</v>
      </c>
      <c r="H5" s="25" t="s">
        <v>78</v>
      </c>
      <c r="J5" s="1" t="s">
        <v>110</v>
      </c>
      <c r="K5" s="49">
        <v>500</v>
      </c>
      <c r="L5" t="s">
        <v>112</v>
      </c>
    </row>
    <row r="6" spans="1:11" ht="14.25" thickBot="1">
      <c r="A6" s="2" t="s">
        <v>17</v>
      </c>
      <c r="B6" s="50">
        <v>1.5</v>
      </c>
      <c r="H6" s="25" t="s">
        <v>79</v>
      </c>
      <c r="J6" s="2" t="s">
        <v>111</v>
      </c>
      <c r="K6" s="54">
        <v>1.15</v>
      </c>
    </row>
    <row r="7" spans="1:13" ht="14.25" thickTop="1">
      <c r="A7" s="1" t="s">
        <v>0</v>
      </c>
      <c r="B7" s="50">
        <v>9.6</v>
      </c>
      <c r="C7" t="s">
        <v>11</v>
      </c>
      <c r="D7" t="s">
        <v>71</v>
      </c>
      <c r="H7" s="25" t="s">
        <v>80</v>
      </c>
      <c r="J7" s="1" t="s">
        <v>114</v>
      </c>
      <c r="K7" s="34">
        <f>K5/K6</f>
        <v>434.7826086956522</v>
      </c>
      <c r="L7" t="s">
        <v>10</v>
      </c>
      <c r="M7" s="4" t="s">
        <v>113</v>
      </c>
    </row>
    <row r="8" spans="1:13" ht="13.5">
      <c r="A8" s="1" t="s">
        <v>1</v>
      </c>
      <c r="B8" s="50">
        <f>9.2</f>
        <v>9.2</v>
      </c>
      <c r="C8" t="s">
        <v>11</v>
      </c>
      <c r="D8" t="s">
        <v>98</v>
      </c>
      <c r="J8" s="1" t="s">
        <v>109</v>
      </c>
      <c r="K8" s="35">
        <f>MIN(500/1.15,250+250*B12)</f>
        <v>434.7826086956522</v>
      </c>
      <c r="L8" t="s">
        <v>10</v>
      </c>
      <c r="M8" s="4" t="s">
        <v>115</v>
      </c>
    </row>
    <row r="9" spans="1:4" ht="13.5">
      <c r="A9" s="1" t="s">
        <v>4</v>
      </c>
      <c r="B9" s="50">
        <v>10</v>
      </c>
      <c r="C9" t="s">
        <v>11</v>
      </c>
      <c r="D9" t="s">
        <v>99</v>
      </c>
    </row>
    <row r="10" spans="1:4" ht="13.5">
      <c r="A10" s="1" t="s">
        <v>20</v>
      </c>
      <c r="B10" s="50">
        <v>26</v>
      </c>
      <c r="C10" t="s">
        <v>11</v>
      </c>
      <c r="D10" t="s">
        <v>72</v>
      </c>
    </row>
    <row r="11" spans="1:4" ht="12">
      <c r="A11" s="1" t="s">
        <v>2</v>
      </c>
      <c r="B11" s="50">
        <v>3</v>
      </c>
      <c r="C11" t="s">
        <v>11</v>
      </c>
      <c r="D11" t="s">
        <v>70</v>
      </c>
    </row>
    <row r="12" spans="1:9" ht="12">
      <c r="A12" s="1" t="s">
        <v>3</v>
      </c>
      <c r="B12" s="50">
        <v>2.8</v>
      </c>
      <c r="C12" t="s">
        <v>11</v>
      </c>
      <c r="D12" t="s">
        <v>54</v>
      </c>
      <c r="I12" s="8" t="s">
        <v>135</v>
      </c>
    </row>
    <row r="13" spans="1:11" ht="13.5">
      <c r="A13" s="1" t="s">
        <v>127</v>
      </c>
      <c r="B13" s="51">
        <v>200</v>
      </c>
      <c r="C13" t="s">
        <v>13</v>
      </c>
      <c r="D13" t="s">
        <v>69</v>
      </c>
      <c r="H13" s="2" t="s">
        <v>132</v>
      </c>
      <c r="I13" s="11">
        <f>0.6*(1-B5/250)</f>
        <v>0.54</v>
      </c>
      <c r="K13" s="4" t="s">
        <v>134</v>
      </c>
    </row>
    <row r="14" spans="1:11" ht="13.5">
      <c r="A14" s="1" t="s">
        <v>123</v>
      </c>
      <c r="B14" s="52">
        <v>120</v>
      </c>
      <c r="C14" t="s">
        <v>124</v>
      </c>
      <c r="D14" t="s">
        <v>125</v>
      </c>
      <c r="H14" s="1" t="s">
        <v>66</v>
      </c>
      <c r="I14" s="13">
        <f>0.4*I13*B17</f>
        <v>3.6000000000000005</v>
      </c>
      <c r="J14" t="s">
        <v>10</v>
      </c>
      <c r="K14" s="4" t="s">
        <v>141</v>
      </c>
    </row>
    <row r="15" spans="1:11" ht="14.25" thickBot="1">
      <c r="A15" s="2" t="s">
        <v>61</v>
      </c>
      <c r="B15" s="53">
        <v>0.018</v>
      </c>
      <c r="D15" t="s">
        <v>60</v>
      </c>
      <c r="H15" s="1" t="s">
        <v>119</v>
      </c>
      <c r="I15" s="12">
        <f>PI()*B8</f>
        <v>28.902652413026093</v>
      </c>
      <c r="J15" t="s">
        <v>11</v>
      </c>
      <c r="K15" t="s">
        <v>142</v>
      </c>
    </row>
    <row r="16" spans="8:11" ht="14.25" thickTop="1">
      <c r="H16" s="1" t="s">
        <v>120</v>
      </c>
      <c r="I16" s="12">
        <f>PI()*B9</f>
        <v>31.41592653589793</v>
      </c>
      <c r="J16" t="s">
        <v>11</v>
      </c>
      <c r="K16" t="s">
        <v>143</v>
      </c>
    </row>
    <row r="17" spans="1:11" ht="13.5">
      <c r="A17" s="1" t="s">
        <v>137</v>
      </c>
      <c r="B17" s="42">
        <f>B5/B6</f>
        <v>16.666666666666668</v>
      </c>
      <c r="D17" s="4" t="s">
        <v>133</v>
      </c>
      <c r="H17" s="2" t="s">
        <v>129</v>
      </c>
      <c r="I17" s="14">
        <f>B34/I15/B12</f>
        <v>0.3552422456008935</v>
      </c>
      <c r="J17" t="s">
        <v>10</v>
      </c>
      <c r="K17" s="4" t="s">
        <v>131</v>
      </c>
    </row>
    <row r="18" spans="1:11" ht="13.5">
      <c r="A18" s="1" t="s">
        <v>122</v>
      </c>
      <c r="B18" s="14">
        <f>B14/B13</f>
        <v>0.6</v>
      </c>
      <c r="C18" t="s">
        <v>11</v>
      </c>
      <c r="D18" t="s">
        <v>126</v>
      </c>
      <c r="H18" s="2" t="s">
        <v>130</v>
      </c>
      <c r="I18" s="23">
        <f>B35/I16/B12</f>
        <v>2.070445551843485</v>
      </c>
      <c r="J18" t="s">
        <v>10</v>
      </c>
      <c r="K18" s="4" t="s">
        <v>136</v>
      </c>
    </row>
    <row r="19" spans="1:9" ht="12">
      <c r="A19" s="2" t="s">
        <v>121</v>
      </c>
      <c r="B19" s="14">
        <f>1+0.6*PI()*B18/(B7+4*B12)</f>
        <v>1.0543737190044387</v>
      </c>
      <c r="D19" t="s">
        <v>139</v>
      </c>
      <c r="H19" s="1" t="s">
        <v>118</v>
      </c>
      <c r="I19" s="41">
        <f>MAX(I17:I18)/I14</f>
        <v>0.575123764400968</v>
      </c>
    </row>
    <row r="20" spans="1:9" ht="13.5">
      <c r="A20" s="1" t="s">
        <v>28</v>
      </c>
      <c r="B20" s="43">
        <f>B19*B13</f>
        <v>210.87474380088773</v>
      </c>
      <c r="C20" t="s">
        <v>13</v>
      </c>
      <c r="D20" t="s">
        <v>128</v>
      </c>
      <c r="I20" s="37" t="str">
        <f>IF(MAX(I17:I18)&gt;I14,"KO","OK")</f>
        <v>OK</v>
      </c>
    </row>
    <row r="21" spans="1:4" ht="13.5">
      <c r="A21" s="19" t="s">
        <v>63</v>
      </c>
      <c r="B21" s="14">
        <f>MIN(2,1+SQRT(0.2/B12))</f>
        <v>1.2672612419124243</v>
      </c>
      <c r="D21" s="4" t="s">
        <v>74</v>
      </c>
    </row>
    <row r="22" spans="1:4" ht="14.25">
      <c r="A22" s="1" t="s">
        <v>18</v>
      </c>
      <c r="B22" s="14">
        <f>0.18/B6*B21*(100*B15*B5)^(1/3)</f>
        <v>0.5409015631677676</v>
      </c>
      <c r="C22" t="s">
        <v>10</v>
      </c>
      <c r="D22" s="4" t="s">
        <v>62</v>
      </c>
    </row>
    <row r="23" spans="1:9" ht="14.25">
      <c r="A23" s="1" t="s">
        <v>59</v>
      </c>
      <c r="B23" s="12">
        <f>0.035*B21^1.5*SQRT(B5)</f>
        <v>0.2496532807062375</v>
      </c>
      <c r="C23" t="s">
        <v>10</v>
      </c>
      <c r="D23" s="6" t="s">
        <v>64</v>
      </c>
      <c r="I23" s="1"/>
    </row>
    <row r="24" spans="1:9" ht="13.5">
      <c r="A24" s="1" t="s">
        <v>18</v>
      </c>
      <c r="B24" s="32">
        <f>MAX(B22:B23)</f>
        <v>0.5409015631677676</v>
      </c>
      <c r="C24" t="s">
        <v>10</v>
      </c>
      <c r="D24" s="20" t="s">
        <v>65</v>
      </c>
      <c r="G24" s="28"/>
      <c r="I24" s="1"/>
    </row>
    <row r="25" spans="1:9" ht="12">
      <c r="A25" s="1"/>
      <c r="B25" s="36"/>
      <c r="D25" s="20"/>
      <c r="G25" s="28"/>
      <c r="I25" s="1"/>
    </row>
    <row r="26" spans="1:9" ht="12">
      <c r="A26" s="1"/>
      <c r="B26" s="36"/>
      <c r="D26" s="20"/>
      <c r="G26" s="28"/>
      <c r="I26" s="1"/>
    </row>
    <row r="27" spans="1:9" ht="12">
      <c r="A27" s="1"/>
      <c r="B27" s="36"/>
      <c r="D27" s="20"/>
      <c r="G27" s="28"/>
      <c r="I27" s="1"/>
    </row>
    <row r="28" spans="1:9" ht="12">
      <c r="A28" s="5"/>
      <c r="C28" s="28" t="s">
        <v>97</v>
      </c>
      <c r="I28" s="1"/>
    </row>
    <row r="29" spans="2:12" ht="12">
      <c r="B29" s="25">
        <v>0</v>
      </c>
      <c r="C29" s="25">
        <v>1</v>
      </c>
      <c r="D29" s="25">
        <v>2</v>
      </c>
      <c r="E29" s="25">
        <v>3</v>
      </c>
      <c r="F29" s="25">
        <v>4</v>
      </c>
      <c r="G29" s="25">
        <v>5</v>
      </c>
      <c r="H29" s="25">
        <v>6</v>
      </c>
      <c r="I29" s="25">
        <v>7</v>
      </c>
      <c r="J29" s="25">
        <v>8</v>
      </c>
      <c r="K29" s="25">
        <v>9</v>
      </c>
      <c r="L29" s="25">
        <v>10</v>
      </c>
    </row>
    <row r="30" spans="1:14" ht="12">
      <c r="A30" s="1" t="s">
        <v>19</v>
      </c>
      <c r="B30" s="11">
        <f aca="true" t="shared" si="0" ref="B30:L30">B29/10*2*$B12</f>
        <v>0</v>
      </c>
      <c r="C30" s="11">
        <f t="shared" si="0"/>
        <v>0.5599999999999999</v>
      </c>
      <c r="D30" s="11">
        <f t="shared" si="0"/>
        <v>1.1199999999999999</v>
      </c>
      <c r="E30" s="11">
        <f t="shared" si="0"/>
        <v>1.68</v>
      </c>
      <c r="F30" s="11">
        <f t="shared" si="0"/>
        <v>2.2399999999999998</v>
      </c>
      <c r="G30" s="11">
        <f t="shared" si="0"/>
        <v>2.8</v>
      </c>
      <c r="H30" s="11">
        <f t="shared" si="0"/>
        <v>3.36</v>
      </c>
      <c r="I30" s="11">
        <f t="shared" si="0"/>
        <v>3.9199999999999995</v>
      </c>
      <c r="J30" s="11">
        <f t="shared" si="0"/>
        <v>4.4799999999999995</v>
      </c>
      <c r="K30" s="11">
        <f t="shared" si="0"/>
        <v>5.04</v>
      </c>
      <c r="L30" s="11">
        <f t="shared" si="0"/>
        <v>5.6</v>
      </c>
      <c r="M30" t="s">
        <v>11</v>
      </c>
      <c r="N30" s="4" t="s">
        <v>55</v>
      </c>
    </row>
    <row r="31" spans="1:14" ht="14.25">
      <c r="A31" s="1" t="s">
        <v>6</v>
      </c>
      <c r="B31" s="12">
        <f aca="true" t="shared" si="1" ref="B31:L31">PI()/4*($B7)^2</f>
        <v>72.38229473870884</v>
      </c>
      <c r="C31" s="12">
        <f t="shared" si="1"/>
        <v>72.38229473870884</v>
      </c>
      <c r="D31" s="12">
        <f t="shared" si="1"/>
        <v>72.38229473870884</v>
      </c>
      <c r="E31" s="12">
        <f t="shared" si="1"/>
        <v>72.38229473870884</v>
      </c>
      <c r="F31" s="12">
        <f t="shared" si="1"/>
        <v>72.38229473870884</v>
      </c>
      <c r="G31" s="12">
        <f t="shared" si="1"/>
        <v>72.38229473870884</v>
      </c>
      <c r="H31" s="12">
        <f t="shared" si="1"/>
        <v>72.38229473870884</v>
      </c>
      <c r="I31" s="12">
        <f t="shared" si="1"/>
        <v>72.38229473870884</v>
      </c>
      <c r="J31" s="12">
        <f t="shared" si="1"/>
        <v>72.38229473870884</v>
      </c>
      <c r="K31" s="12">
        <f t="shared" si="1"/>
        <v>72.38229473870884</v>
      </c>
      <c r="L31" s="12">
        <f t="shared" si="1"/>
        <v>72.38229473870884</v>
      </c>
      <c r="M31" t="s">
        <v>12</v>
      </c>
      <c r="N31" s="4" t="s">
        <v>21</v>
      </c>
    </row>
    <row r="32" spans="1:14" ht="14.25">
      <c r="A32" s="1" t="s">
        <v>7</v>
      </c>
      <c r="B32" s="12">
        <f aca="true" t="shared" si="2" ref="B32:L32">PI()/4*($B8)^2</f>
        <v>66.47610054996001</v>
      </c>
      <c r="C32" s="12">
        <f t="shared" si="2"/>
        <v>66.47610054996001</v>
      </c>
      <c r="D32" s="12">
        <f t="shared" si="2"/>
        <v>66.47610054996001</v>
      </c>
      <c r="E32" s="12">
        <f t="shared" si="2"/>
        <v>66.47610054996001</v>
      </c>
      <c r="F32" s="12">
        <f t="shared" si="2"/>
        <v>66.47610054996001</v>
      </c>
      <c r="G32" s="12">
        <f t="shared" si="2"/>
        <v>66.47610054996001</v>
      </c>
      <c r="H32" s="12">
        <f t="shared" si="2"/>
        <v>66.47610054996001</v>
      </c>
      <c r="I32" s="12">
        <f t="shared" si="2"/>
        <v>66.47610054996001</v>
      </c>
      <c r="J32" s="12">
        <f t="shared" si="2"/>
        <v>66.47610054996001</v>
      </c>
      <c r="K32" s="12">
        <f t="shared" si="2"/>
        <v>66.47610054996001</v>
      </c>
      <c r="L32" s="12">
        <f t="shared" si="2"/>
        <v>66.47610054996001</v>
      </c>
      <c r="M32" t="s">
        <v>12</v>
      </c>
      <c r="N32" s="4" t="s">
        <v>22</v>
      </c>
    </row>
    <row r="33" spans="1:14" ht="14.25">
      <c r="A33" s="1" t="s">
        <v>25</v>
      </c>
      <c r="B33" s="12">
        <f aca="true" t="shared" si="3" ref="B33:L33">PI()/4*($B10)^2</f>
        <v>530.929158456675</v>
      </c>
      <c r="C33" s="12">
        <f t="shared" si="3"/>
        <v>530.929158456675</v>
      </c>
      <c r="D33" s="12">
        <f t="shared" si="3"/>
        <v>530.929158456675</v>
      </c>
      <c r="E33" s="12">
        <f t="shared" si="3"/>
        <v>530.929158456675</v>
      </c>
      <c r="F33" s="12">
        <f t="shared" si="3"/>
        <v>530.929158456675</v>
      </c>
      <c r="G33" s="12">
        <f t="shared" si="3"/>
        <v>530.929158456675</v>
      </c>
      <c r="H33" s="12">
        <f t="shared" si="3"/>
        <v>530.929158456675</v>
      </c>
      <c r="I33" s="12">
        <f t="shared" si="3"/>
        <v>530.929158456675</v>
      </c>
      <c r="J33" s="12">
        <f t="shared" si="3"/>
        <v>530.929158456675</v>
      </c>
      <c r="K33" s="12">
        <f t="shared" si="3"/>
        <v>530.929158456675</v>
      </c>
      <c r="L33" s="12">
        <f t="shared" si="3"/>
        <v>530.929158456675</v>
      </c>
      <c r="M33" t="s">
        <v>12</v>
      </c>
      <c r="N33" s="4" t="s">
        <v>23</v>
      </c>
    </row>
    <row r="34" spans="1:14" ht="13.5">
      <c r="A34" s="1" t="s">
        <v>26</v>
      </c>
      <c r="B34" s="12">
        <f aca="true" t="shared" si="4" ref="B34:L34">$B20*B31/B33</f>
        <v>28.74884081167132</v>
      </c>
      <c r="C34" s="12">
        <f t="shared" si="4"/>
        <v>28.74884081167132</v>
      </c>
      <c r="D34" s="12">
        <f t="shared" si="4"/>
        <v>28.74884081167132</v>
      </c>
      <c r="E34" s="12">
        <f t="shared" si="4"/>
        <v>28.74884081167132</v>
      </c>
      <c r="F34" s="12">
        <f t="shared" si="4"/>
        <v>28.74884081167132</v>
      </c>
      <c r="G34" s="12">
        <f t="shared" si="4"/>
        <v>28.74884081167132</v>
      </c>
      <c r="H34" s="12">
        <f t="shared" si="4"/>
        <v>28.74884081167132</v>
      </c>
      <c r="I34" s="12">
        <f t="shared" si="4"/>
        <v>28.74884081167132</v>
      </c>
      <c r="J34" s="12">
        <f t="shared" si="4"/>
        <v>28.74884081167132</v>
      </c>
      <c r="K34" s="12">
        <f t="shared" si="4"/>
        <v>28.74884081167132</v>
      </c>
      <c r="L34" s="12">
        <f t="shared" si="4"/>
        <v>28.74884081167132</v>
      </c>
      <c r="M34" t="s">
        <v>13</v>
      </c>
      <c r="N34" s="4" t="s">
        <v>29</v>
      </c>
    </row>
    <row r="35" spans="1:14" ht="13.5">
      <c r="A35" s="1" t="s">
        <v>27</v>
      </c>
      <c r="B35" s="12">
        <f aca="true" t="shared" si="5" ref="B35:L35">$B20-B34</f>
        <v>182.1259029892164</v>
      </c>
      <c r="C35" s="12">
        <f t="shared" si="5"/>
        <v>182.1259029892164</v>
      </c>
      <c r="D35" s="12">
        <f t="shared" si="5"/>
        <v>182.1259029892164</v>
      </c>
      <c r="E35" s="12">
        <f t="shared" si="5"/>
        <v>182.1259029892164</v>
      </c>
      <c r="F35" s="12">
        <f t="shared" si="5"/>
        <v>182.1259029892164</v>
      </c>
      <c r="G35" s="12">
        <f t="shared" si="5"/>
        <v>182.1259029892164</v>
      </c>
      <c r="H35" s="12">
        <f t="shared" si="5"/>
        <v>182.1259029892164</v>
      </c>
      <c r="I35" s="12">
        <f t="shared" si="5"/>
        <v>182.1259029892164</v>
      </c>
      <c r="J35" s="12">
        <f t="shared" si="5"/>
        <v>182.1259029892164</v>
      </c>
      <c r="K35" s="12">
        <f t="shared" si="5"/>
        <v>182.1259029892164</v>
      </c>
      <c r="L35" s="12">
        <f t="shared" si="5"/>
        <v>182.1259029892164</v>
      </c>
      <c r="M35" t="s">
        <v>13</v>
      </c>
      <c r="N35" s="4" t="s">
        <v>30</v>
      </c>
    </row>
    <row r="36" spans="1:14" ht="13.5">
      <c r="A36" s="1" t="s">
        <v>58</v>
      </c>
      <c r="B36" s="13">
        <f aca="true" t="shared" si="6" ref="B36:L36">$B8-2*B30</f>
        <v>9.2</v>
      </c>
      <c r="C36" s="13">
        <f t="shared" si="6"/>
        <v>8.08</v>
      </c>
      <c r="D36" s="13">
        <f t="shared" si="6"/>
        <v>6.959999999999999</v>
      </c>
      <c r="E36" s="13">
        <f t="shared" si="6"/>
        <v>5.84</v>
      </c>
      <c r="F36" s="13">
        <f t="shared" si="6"/>
        <v>4.72</v>
      </c>
      <c r="G36" s="13">
        <f t="shared" si="6"/>
        <v>3.5999999999999996</v>
      </c>
      <c r="H36" s="13">
        <f t="shared" si="6"/>
        <v>2.4799999999999995</v>
      </c>
      <c r="I36" s="13">
        <f t="shared" si="6"/>
        <v>1.3600000000000003</v>
      </c>
      <c r="J36" s="13">
        <f t="shared" si="6"/>
        <v>0.2400000000000002</v>
      </c>
      <c r="K36" s="13">
        <f t="shared" si="6"/>
        <v>-0.8800000000000008</v>
      </c>
      <c r="L36" s="13">
        <f t="shared" si="6"/>
        <v>-2</v>
      </c>
      <c r="M36" t="s">
        <v>11</v>
      </c>
      <c r="N36" s="4" t="s">
        <v>50</v>
      </c>
    </row>
    <row r="37" spans="1:14" ht="13.5">
      <c r="A37" s="1" t="s">
        <v>37</v>
      </c>
      <c r="B37" s="13">
        <f aca="true" t="shared" si="7" ref="B37:L37">$B9+2*B30</f>
        <v>10</v>
      </c>
      <c r="C37" s="13">
        <f t="shared" si="7"/>
        <v>11.12</v>
      </c>
      <c r="D37" s="13">
        <f t="shared" si="7"/>
        <v>12.24</v>
      </c>
      <c r="E37" s="13">
        <f t="shared" si="7"/>
        <v>13.36</v>
      </c>
      <c r="F37" s="13">
        <f t="shared" si="7"/>
        <v>14.48</v>
      </c>
      <c r="G37" s="13">
        <f t="shared" si="7"/>
        <v>15.6</v>
      </c>
      <c r="H37" s="13">
        <f t="shared" si="7"/>
        <v>16.72</v>
      </c>
      <c r="I37" s="13">
        <f t="shared" si="7"/>
        <v>17.84</v>
      </c>
      <c r="J37" s="13">
        <f t="shared" si="7"/>
        <v>18.96</v>
      </c>
      <c r="K37" s="13">
        <f t="shared" si="7"/>
        <v>20.08</v>
      </c>
      <c r="L37" s="13">
        <f t="shared" si="7"/>
        <v>21.2</v>
      </c>
      <c r="M37" t="s">
        <v>11</v>
      </c>
      <c r="N37" s="4" t="s">
        <v>51</v>
      </c>
    </row>
    <row r="38" spans="1:14" ht="13.5">
      <c r="A38" s="1" t="s">
        <v>33</v>
      </c>
      <c r="B38" s="14">
        <f>PI()*B36</f>
        <v>28.902652413026093</v>
      </c>
      <c r="C38" s="14">
        <f aca="true" t="shared" si="8" ref="C38:L38">PI()*C36</f>
        <v>25.384068641005527</v>
      </c>
      <c r="D38" s="14">
        <f t="shared" si="8"/>
        <v>21.865484868984957</v>
      </c>
      <c r="E38" s="14">
        <f t="shared" si="8"/>
        <v>18.34690109696439</v>
      </c>
      <c r="F38" s="14">
        <f t="shared" si="8"/>
        <v>14.828317324943823</v>
      </c>
      <c r="G38" s="14">
        <f t="shared" si="8"/>
        <v>11.309733552923253</v>
      </c>
      <c r="H38" s="14">
        <f t="shared" si="8"/>
        <v>7.7911497809026855</v>
      </c>
      <c r="I38" s="14">
        <f t="shared" si="8"/>
        <v>4.272566008882119</v>
      </c>
      <c r="J38" s="14">
        <f t="shared" si="8"/>
        <v>0.753982236861551</v>
      </c>
      <c r="K38" s="14">
        <f t="shared" si="8"/>
        <v>-2.7646015351590205</v>
      </c>
      <c r="L38" s="14">
        <f t="shared" si="8"/>
        <v>-6.283185307179586</v>
      </c>
      <c r="M38" t="s">
        <v>11</v>
      </c>
      <c r="N38" s="4" t="s">
        <v>56</v>
      </c>
    </row>
    <row r="39" spans="1:14" ht="13.5">
      <c r="A39" s="1" t="s">
        <v>34</v>
      </c>
      <c r="B39" s="14">
        <f>PI()*B37</f>
        <v>31.41592653589793</v>
      </c>
      <c r="C39" s="14">
        <f aca="true" t="shared" si="9" ref="C39:L39">PI()*C37</f>
        <v>34.934510307918494</v>
      </c>
      <c r="D39" s="14">
        <f t="shared" si="9"/>
        <v>38.45309407993907</v>
      </c>
      <c r="E39" s="14">
        <f t="shared" si="9"/>
        <v>41.97167785195963</v>
      </c>
      <c r="F39" s="14">
        <f t="shared" si="9"/>
        <v>45.4902616239802</v>
      </c>
      <c r="G39" s="14">
        <f t="shared" si="9"/>
        <v>49.00884539600077</v>
      </c>
      <c r="H39" s="14">
        <f t="shared" si="9"/>
        <v>52.527429168021335</v>
      </c>
      <c r="I39" s="14">
        <f t="shared" si="9"/>
        <v>56.04601294004191</v>
      </c>
      <c r="J39" s="14">
        <f t="shared" si="9"/>
        <v>59.56459671206248</v>
      </c>
      <c r="K39" s="14">
        <f t="shared" si="9"/>
        <v>63.08318048408304</v>
      </c>
      <c r="L39" s="14">
        <f t="shared" si="9"/>
        <v>66.6017642561036</v>
      </c>
      <c r="M39" t="s">
        <v>11</v>
      </c>
      <c r="N39" s="4" t="s">
        <v>57</v>
      </c>
    </row>
    <row r="40" spans="1:14" ht="14.25">
      <c r="A40" s="1" t="s">
        <v>39</v>
      </c>
      <c r="B40" s="15">
        <f aca="true" t="shared" si="10" ref="B40:L40">PI()/4*B37^2</f>
        <v>78.53981633974483</v>
      </c>
      <c r="C40" s="15">
        <f t="shared" si="10"/>
        <v>97.11793865601341</v>
      </c>
      <c r="D40" s="15">
        <f t="shared" si="10"/>
        <v>117.66646788461355</v>
      </c>
      <c r="E40" s="15">
        <f t="shared" si="10"/>
        <v>140.18540402554518</v>
      </c>
      <c r="F40" s="15">
        <f t="shared" si="10"/>
        <v>164.67474707880834</v>
      </c>
      <c r="G40" s="15">
        <f t="shared" si="10"/>
        <v>191.134497044403</v>
      </c>
      <c r="H40" s="15">
        <f t="shared" si="10"/>
        <v>219.56465392232917</v>
      </c>
      <c r="I40" s="15">
        <f t="shared" si="10"/>
        <v>249.9652177125869</v>
      </c>
      <c r="J40" s="15">
        <f t="shared" si="10"/>
        <v>282.33618841517614</v>
      </c>
      <c r="K40" s="15">
        <f t="shared" si="10"/>
        <v>316.67756603009684</v>
      </c>
      <c r="L40" s="15">
        <f t="shared" si="10"/>
        <v>352.98935055734916</v>
      </c>
      <c r="M40" t="s">
        <v>12</v>
      </c>
      <c r="N40" s="4" t="s">
        <v>41</v>
      </c>
    </row>
    <row r="41" spans="1:14" ht="14.25">
      <c r="A41" s="1" t="s">
        <v>40</v>
      </c>
      <c r="B41" s="15">
        <f aca="true" t="shared" si="11" ref="B41:L41">IF(B36&lt;0,0,PI()/4*B36^2)</f>
        <v>66.47610054996001</v>
      </c>
      <c r="C41" s="15">
        <f t="shared" si="11"/>
        <v>51.27581865483117</v>
      </c>
      <c r="D41" s="15">
        <f t="shared" si="11"/>
        <v>38.04594367203382</v>
      </c>
      <c r="E41" s="15">
        <f t="shared" si="11"/>
        <v>26.786475601568007</v>
      </c>
      <c r="F41" s="15">
        <f t="shared" si="11"/>
        <v>17.49741444343371</v>
      </c>
      <c r="G41" s="15">
        <f t="shared" si="11"/>
        <v>10.178760197630927</v>
      </c>
      <c r="H41" s="15">
        <f t="shared" si="11"/>
        <v>4.830512864159664</v>
      </c>
      <c r="I41" s="15">
        <f t="shared" si="11"/>
        <v>1.452672443019921</v>
      </c>
      <c r="J41" s="15">
        <f t="shared" si="11"/>
        <v>0.0452389342116931</v>
      </c>
      <c r="K41" s="15">
        <f t="shared" si="11"/>
        <v>0</v>
      </c>
      <c r="L41" s="15">
        <f t="shared" si="11"/>
        <v>0</v>
      </c>
      <c r="M41" t="s">
        <v>12</v>
      </c>
      <c r="N41" s="4" t="s">
        <v>42</v>
      </c>
    </row>
    <row r="42" spans="1:14" ht="13.5">
      <c r="A42" s="1" t="s">
        <v>43</v>
      </c>
      <c r="B42" s="14">
        <f aca="true" t="shared" si="12" ref="B42:L42">B34*B41/B31</f>
        <v>26.40301525933008</v>
      </c>
      <c r="C42" s="14">
        <f t="shared" si="12"/>
        <v>20.365758688879108</v>
      </c>
      <c r="D42" s="14">
        <f t="shared" si="12"/>
        <v>15.111109451634734</v>
      </c>
      <c r="E42" s="14">
        <f t="shared" si="12"/>
        <v>10.639067547596975</v>
      </c>
      <c r="F42" s="14">
        <f t="shared" si="12"/>
        <v>6.949632976765823</v>
      </c>
      <c r="G42" s="14">
        <f t="shared" si="12"/>
        <v>4.042805739141278</v>
      </c>
      <c r="H42" s="14">
        <f t="shared" si="12"/>
        <v>1.9185858347233424</v>
      </c>
      <c r="I42" s="14">
        <f t="shared" si="12"/>
        <v>0.5769732635120149</v>
      </c>
      <c r="J42" s="14">
        <f t="shared" si="12"/>
        <v>0.017968025507294608</v>
      </c>
      <c r="K42" s="14">
        <f t="shared" si="12"/>
        <v>0</v>
      </c>
      <c r="L42" s="14">
        <f t="shared" si="12"/>
        <v>0</v>
      </c>
      <c r="M42" t="s">
        <v>13</v>
      </c>
      <c r="N42" s="4" t="s">
        <v>44</v>
      </c>
    </row>
    <row r="43" spans="1:14" ht="13.5">
      <c r="A43" s="1" t="s">
        <v>46</v>
      </c>
      <c r="B43" s="12">
        <f aca="true" t="shared" si="13" ref="B43:L43">B35*(B33-B40)/(B33-B31)</f>
        <v>179.68025507294576</v>
      </c>
      <c r="C43" s="12">
        <f t="shared" si="13"/>
        <v>172.30138593128345</v>
      </c>
      <c r="D43" s="12">
        <f t="shared" si="13"/>
        <v>164.13990945641453</v>
      </c>
      <c r="E43" s="12">
        <f t="shared" si="13"/>
        <v>155.19582564833902</v>
      </c>
      <c r="F43" s="12">
        <f t="shared" si="13"/>
        <v>145.46913450705688</v>
      </c>
      <c r="G43" s="12">
        <f t="shared" si="13"/>
        <v>134.95983603256815</v>
      </c>
      <c r="H43" s="12">
        <f t="shared" si="13"/>
        <v>123.6679302248728</v>
      </c>
      <c r="I43" s="12">
        <f t="shared" si="13"/>
        <v>111.59341708397086</v>
      </c>
      <c r="J43" s="12">
        <f t="shared" si="13"/>
        <v>98.73629660986228</v>
      </c>
      <c r="K43" s="12">
        <f t="shared" si="13"/>
        <v>85.09656880254713</v>
      </c>
      <c r="L43" s="12">
        <f t="shared" si="13"/>
        <v>70.67423366202533</v>
      </c>
      <c r="M43" t="s">
        <v>13</v>
      </c>
      <c r="N43" s="4" t="s">
        <v>45</v>
      </c>
    </row>
    <row r="44" spans="1:14" ht="13.5">
      <c r="A44" s="2" t="s">
        <v>8</v>
      </c>
      <c r="B44" s="29">
        <f aca="true" t="shared" si="14" ref="B44:L44">IF(B36&lt;0,0,B42/B38/$B12)</f>
        <v>0.3262554651438761</v>
      </c>
      <c r="C44" s="29">
        <f t="shared" si="14"/>
        <v>0.2865374085176651</v>
      </c>
      <c r="D44" s="29">
        <f t="shared" si="14"/>
        <v>0.24681935189145407</v>
      </c>
      <c r="E44" s="29">
        <f t="shared" si="14"/>
        <v>0.20710129526524307</v>
      </c>
      <c r="F44" s="29">
        <f t="shared" si="14"/>
        <v>0.16738323863903207</v>
      </c>
      <c r="G44" s="29">
        <f t="shared" si="14"/>
        <v>0.12766518201282107</v>
      </c>
      <c r="H44" s="29">
        <f t="shared" si="14"/>
        <v>0.08794712538661008</v>
      </c>
      <c r="I44" s="29">
        <f t="shared" si="14"/>
        <v>0.048229068760399084</v>
      </c>
      <c r="J44" s="29">
        <f t="shared" si="14"/>
        <v>0.008511012134188081</v>
      </c>
      <c r="K44" s="29">
        <f t="shared" si="14"/>
        <v>0</v>
      </c>
      <c r="L44" s="29">
        <f t="shared" si="14"/>
        <v>0</v>
      </c>
      <c r="M44" t="s">
        <v>10</v>
      </c>
      <c r="N44" s="4" t="s">
        <v>47</v>
      </c>
    </row>
    <row r="45" spans="1:14" ht="13.5">
      <c r="A45" s="2" t="s">
        <v>9</v>
      </c>
      <c r="B45" s="29">
        <f aca="true" t="shared" si="15" ref="B45:L45">B43/B39/$B12</f>
        <v>2.0426429122051375</v>
      </c>
      <c r="C45" s="29">
        <f t="shared" si="15"/>
        <v>1.761473360261313</v>
      </c>
      <c r="D45" s="29">
        <f t="shared" si="15"/>
        <v>1.5244910100749596</v>
      </c>
      <c r="E45" s="29">
        <f t="shared" si="15"/>
        <v>1.320582912701086</v>
      </c>
      <c r="F45" s="29">
        <f t="shared" si="15"/>
        <v>1.1420743796417674</v>
      </c>
      <c r="G45" s="29">
        <f t="shared" si="15"/>
        <v>0.9834947355061773</v>
      </c>
      <c r="H45" s="29">
        <f t="shared" si="15"/>
        <v>0.8408391318024657</v>
      </c>
      <c r="I45" s="29">
        <f t="shared" si="15"/>
        <v>0.7111084219022071</v>
      </c>
      <c r="J45" s="29">
        <f t="shared" si="15"/>
        <v>0.5920121182959287</v>
      </c>
      <c r="K45" s="29">
        <f t="shared" si="15"/>
        <v>0.4817707585758732</v>
      </c>
      <c r="L45" s="29">
        <f t="shared" si="15"/>
        <v>0.3789809176732802</v>
      </c>
      <c r="M45" t="s">
        <v>10</v>
      </c>
      <c r="N45" s="4" t="s">
        <v>48</v>
      </c>
    </row>
    <row r="46" spans="1:14" ht="13.5">
      <c r="A46" s="5" t="s">
        <v>66</v>
      </c>
      <c r="B46" s="21"/>
      <c r="C46" s="30">
        <f aca="true" t="shared" si="16" ref="C46:L46">2*$B12/C30*$B24</f>
        <v>5.409015631677676</v>
      </c>
      <c r="D46" s="30">
        <f t="shared" si="16"/>
        <v>2.704507815838838</v>
      </c>
      <c r="E46" s="30">
        <f t="shared" si="16"/>
        <v>1.8030052105592251</v>
      </c>
      <c r="F46" s="30">
        <f t="shared" si="16"/>
        <v>1.352253907919419</v>
      </c>
      <c r="G46" s="30">
        <f t="shared" si="16"/>
        <v>1.0818031263355352</v>
      </c>
      <c r="H46" s="30">
        <f t="shared" si="16"/>
        <v>0.9015026052796126</v>
      </c>
      <c r="I46" s="30">
        <f t="shared" si="16"/>
        <v>0.7727165188110966</v>
      </c>
      <c r="J46" s="30">
        <f t="shared" si="16"/>
        <v>0.6761269539597095</v>
      </c>
      <c r="K46" s="30">
        <f t="shared" si="16"/>
        <v>0.601001736853075</v>
      </c>
      <c r="L46" s="30">
        <f t="shared" si="16"/>
        <v>0.5409015631677676</v>
      </c>
      <c r="N46" s="4" t="s">
        <v>67</v>
      </c>
    </row>
    <row r="47" spans="2:14" ht="13.5">
      <c r="B47" s="22"/>
      <c r="C47" s="17">
        <f aca="true" t="shared" si="17" ref="C47:L47">MAX(C44:C45)/C46</f>
        <v>0.32565506927828375</v>
      </c>
      <c r="D47" s="17">
        <f t="shared" si="17"/>
        <v>0.5636851929755355</v>
      </c>
      <c r="E47" s="17">
        <f t="shared" si="17"/>
        <v>0.7324343296220925</v>
      </c>
      <c r="F47" s="17">
        <f t="shared" si="17"/>
        <v>0.8445709588659764</v>
      </c>
      <c r="G47" s="17">
        <f t="shared" si="17"/>
        <v>0.909125432866547</v>
      </c>
      <c r="H47" s="17">
        <f t="shared" si="17"/>
        <v>0.9327084878935749</v>
      </c>
      <c r="I47" s="17">
        <f t="shared" si="17"/>
        <v>0.9202707650100714</v>
      </c>
      <c r="J47" s="17">
        <f t="shared" si="17"/>
        <v>0.8755931335510798</v>
      </c>
      <c r="K47" s="17">
        <f t="shared" si="17"/>
        <v>0.8016129222828688</v>
      </c>
      <c r="L47" s="17">
        <f t="shared" si="17"/>
        <v>0.7006467414399657</v>
      </c>
      <c r="M47" t="s">
        <v>10</v>
      </c>
      <c r="N47" s="4" t="s">
        <v>68</v>
      </c>
    </row>
    <row r="49" spans="2:4" ht="12">
      <c r="B49" s="5" t="s">
        <v>118</v>
      </c>
      <c r="C49" s="44">
        <f>MAX(C47:L47)</f>
        <v>0.9327084878935749</v>
      </c>
      <c r="D49" s="45" t="str">
        <f>IF(MAX(C47:L47)&gt;1,"Prévoir des armatures de poinçonnement","Pas d'armatures de poinçonnement nécessaires")</f>
        <v>Pas d'armatures de poinçonnement nécessaires</v>
      </c>
    </row>
    <row r="50" ht="13.5" customHeight="1"/>
    <row r="51" spans="1:13" ht="14.25">
      <c r="A51" s="1" t="s">
        <v>116</v>
      </c>
      <c r="B51" s="38"/>
      <c r="C51" s="38">
        <f>IF(C44&gt;C$46,(C44-0.75*C$46)*C38/1.5/$K$8*10000,0)</f>
        <v>0</v>
      </c>
      <c r="D51" s="38">
        <f aca="true" t="shared" si="18" ref="D51:L51">IF(D44&gt;D46,(D44-0.75*D46)*D38/1.5/$K8*10000,0)</f>
        <v>0</v>
      </c>
      <c r="E51" s="38">
        <f t="shared" si="18"/>
        <v>0</v>
      </c>
      <c r="F51" s="38">
        <f t="shared" si="18"/>
        <v>0</v>
      </c>
      <c r="G51" s="38">
        <f t="shared" si="18"/>
        <v>0</v>
      </c>
      <c r="H51" s="38">
        <f t="shared" si="18"/>
        <v>0</v>
      </c>
      <c r="I51" s="38">
        <f t="shared" si="18"/>
        <v>0</v>
      </c>
      <c r="J51" s="38">
        <f t="shared" si="18"/>
        <v>0</v>
      </c>
      <c r="K51" s="38">
        <f t="shared" si="18"/>
        <v>0</v>
      </c>
      <c r="L51" s="38">
        <f t="shared" si="18"/>
        <v>0</v>
      </c>
      <c r="M51" t="s">
        <v>138</v>
      </c>
    </row>
    <row r="52" spans="1:13" ht="14.25">
      <c r="A52" s="1" t="s">
        <v>117</v>
      </c>
      <c r="B52" s="39"/>
      <c r="C52" s="40">
        <f>IF(C45&gt;C$46,(C45-0.75*C$46)*C39/1.5/$K$8*10000,0)</f>
        <v>0</v>
      </c>
      <c r="D52" s="40">
        <f aca="true" t="shared" si="19" ref="D52:L52">IF(D45&gt;D$46,(D45-0.75*D$46)*D39/1.5/$K$8*10000,0)</f>
        <v>0</v>
      </c>
      <c r="E52" s="40">
        <f t="shared" si="19"/>
        <v>0</v>
      </c>
      <c r="F52" s="40">
        <f t="shared" si="19"/>
        <v>0</v>
      </c>
      <c r="G52" s="40">
        <f t="shared" si="19"/>
        <v>0</v>
      </c>
      <c r="H52" s="40">
        <f t="shared" si="19"/>
        <v>0</v>
      </c>
      <c r="I52" s="40">
        <f t="shared" si="19"/>
        <v>0</v>
      </c>
      <c r="J52" s="40">
        <f t="shared" si="19"/>
        <v>0</v>
      </c>
      <c r="K52" s="40">
        <f t="shared" si="19"/>
        <v>0</v>
      </c>
      <c r="L52" s="40">
        <f t="shared" si="19"/>
        <v>0</v>
      </c>
      <c r="M52" t="s">
        <v>138</v>
      </c>
    </row>
  </sheetData>
  <sheetProtection password="DE57" sheet="1" objects="1" scenarios="1"/>
  <mergeCells count="2">
    <mergeCell ref="A4:C4"/>
    <mergeCell ref="B1:I1"/>
  </mergeCells>
  <conditionalFormatting sqref="C44:L45">
    <cfRule type="cellIs" priority="1" dxfId="0" operator="greaterThan" stopIfTrue="1">
      <formula>C$46</formula>
    </cfRule>
  </conditionalFormatting>
  <conditionalFormatting sqref="C49 C47:L47 I19">
    <cfRule type="cellIs" priority="2" dxfId="0" operator="greaterThan" stopIfTrue="1">
      <formula>1</formula>
    </cfRule>
  </conditionalFormatting>
  <conditionalFormatting sqref="I20">
    <cfRule type="cellIs" priority="3" dxfId="0" operator="equal" stopIfTrue="1">
      <formula>"KO"</formula>
    </cfRule>
  </conditionalFormatting>
  <conditionalFormatting sqref="I17:I18">
    <cfRule type="cellIs" priority="4" dxfId="0" operator="greaterThan" stopIfTrue="1">
      <formula>$I$14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3"/>
  <legacyDrawing r:id="rId2"/>
  <oleObjects>
    <oleObject progId="Designer.Drawing.7" shapeId="7594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dcterms:created xsi:type="dcterms:W3CDTF">2018-12-07T18:38:32Z</dcterms:created>
  <dcterms:modified xsi:type="dcterms:W3CDTF">2021-10-08T15:12:24Z</dcterms:modified>
  <cp:category/>
  <cp:version/>
  <cp:contentType/>
  <cp:contentStatus/>
</cp:coreProperties>
</file>