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" yWindow="65476" windowWidth="12840" windowHeight="10515" tabRatio="373" activeTab="0"/>
  </bookViews>
  <sheets>
    <sheet name="Calculs" sheetId="1" r:id="rId1"/>
    <sheet name="Mode d'Emploi" sheetId="2" r:id="rId2"/>
  </sheets>
  <definedNames>
    <definedName name="AA">'Calculs'!$L$45:$L$76</definedName>
    <definedName name="AVA">'Calculs'!$K$10</definedName>
    <definedName name="AVB">'Calculs'!$K$11</definedName>
    <definedName name="AX">'Calculs'!$H$45:$H$76</definedName>
    <definedName name="AXK">'Calculs'!$J$45:$J$76</definedName>
    <definedName name="AY">'Calculs'!$I$45:$I$76</definedName>
    <definedName name="AYK">'Calculs'!$K$45:$K$76</definedName>
    <definedName name="BX">'Calculs'!$B$45:$B$76</definedName>
    <definedName name="BXK">'Calculs'!$D$45:$D$76</definedName>
    <definedName name="BY">'Calculs'!$C$45:$C$76</definedName>
    <definedName name="BYK">'Calculs'!$E$45:$E$76</definedName>
    <definedName name="cas">'Calculs'!$AU$61</definedName>
    <definedName name="coa">'Calculs'!$G$45:$I$76</definedName>
    <definedName name="coag">'Calculs'!$J$45:$K$76</definedName>
    <definedName name="cob">'Calculs'!$B$45:$C$76</definedName>
    <definedName name="cosig">'Calculs'!$AE$33</definedName>
    <definedName name="cost">'Calculs'!$V$23</definedName>
    <definedName name="d">'Calculs'!$AI$42</definedName>
    <definedName name="ecc1">'Calculs'!$AE$11</definedName>
    <definedName name="ecc12">'Calculs'!$AE$21</definedName>
    <definedName name="ecc2">'Calculs'!$AE$13</definedName>
    <definedName name="ecM">'Calculs'!$AE$32</definedName>
    <definedName name="ecu">'Calculs'!$AE$22</definedName>
    <definedName name="ecu1">'Calculs'!$AE$12</definedName>
    <definedName name="ecu2">'Calculs'!$AE$14</definedName>
    <definedName name="ELU">'Calculs'!$C$15</definedName>
    <definedName name="esM">'Calculs'!$AE$31</definedName>
    <definedName name="eso">'Calculs'!$AE$17</definedName>
    <definedName name="eud">'Calculs'!$AE$16</definedName>
    <definedName name="euk">'Calculs'!$AE$20</definedName>
    <definedName name="ex">'Calculs'!$C$13</definedName>
    <definedName name="exg">'Calculs'!$D$35</definedName>
    <definedName name="ey">'Calculs'!$C$14</definedName>
    <definedName name="eyg">'Calculs'!$D$36</definedName>
    <definedName name="fck">'Calculs'!$C$16</definedName>
    <definedName name="fcm">'Calculs'!$AE$10</definedName>
    <definedName name="fyk">'Calculs'!$C$17</definedName>
    <definedName name="gc">'Calculs'!$AA$2</definedName>
    <definedName name="GFR">'Calculs'!$AD$28</definedName>
    <definedName name="gs">'Calculs'!$AA$3</definedName>
    <definedName name="h">'Calculs'!$AE$30</definedName>
    <definedName name="kc">'Calculs'!$AE$23</definedName>
    <definedName name="ks">'Calculs'!$AE$19</definedName>
    <definedName name="Na">'Calculs'!$C$10</definedName>
    <definedName name="Nb">'Calculs'!$C$9</definedName>
    <definedName name="nc">'Calculs'!$AE$15</definedName>
    <definedName name="neq">'Calculs'!$T$4</definedName>
    <definedName name="Np">'Calculs'!$C$8</definedName>
    <definedName name="P">'Calculs'!$C$12</definedName>
    <definedName name="PAT1">'Calculs'!$W$2</definedName>
    <definedName name="PAT2">'Calculs'!$W$3</definedName>
    <definedName name="PAT3">'Calculs'!$W$4</definedName>
    <definedName name="phi">'Calculs'!$X$13</definedName>
    <definedName name="phir">'Calculs'!$AA$90</definedName>
    <definedName name="preci">'Calculs'!$BB$15</definedName>
    <definedName name="sc">'Calculs'!$C$19</definedName>
    <definedName name="sint">'Calculs'!$V$22</definedName>
    <definedName name="ss">'Calculs'!$C$20</definedName>
    <definedName name="tabfck">'Calculs'!$Y$38:$AG$51</definedName>
    <definedName name="typ">'Calculs'!$I$19</definedName>
    <definedName name="u">'Calculs'!$AL$26</definedName>
    <definedName name="uo">'Calculs'!$V$25</definedName>
    <definedName name="v">'Calculs'!$AL$27</definedName>
    <definedName name="vo">'Calculs'!$V$26</definedName>
    <definedName name="w">'Calculs'!$AL$28</definedName>
    <definedName name="wo">'Calculs'!$V$27</definedName>
    <definedName name="xg">'Calculs'!$X$11</definedName>
    <definedName name="yg">'Calculs'!$X$12</definedName>
    <definedName name="_xlnm.Print_Area" localSheetId="0">'Calculs'!$A$1:$N$166</definedName>
  </definedNames>
  <calcPr calcMode="manual" fullCalcOnLoad="1" iterate="1" iterateCount="10" iterateDelta="0.001"/>
</workbook>
</file>

<file path=xl/comments1.xml><?xml version="1.0" encoding="utf-8"?>
<comments xmlns="http://schemas.openxmlformats.org/spreadsheetml/2006/main">
  <authors>
    <author>Henry</author>
  </authors>
  <commentList>
    <comment ref="I19" authorId="0">
      <text>
        <r>
          <rPr>
            <b/>
            <sz val="8"/>
            <rFont val="Tahoma"/>
            <family val="0"/>
          </rPr>
          <t>1 = diagramme parabole-rectangle de la figure 3.3 de l'EC2
2 = diagramme de Sargin de l'Eq. 3.14 de l'EC2</t>
        </r>
      </text>
    </comment>
    <comment ref="C19" authorId="0">
      <text>
        <r>
          <rPr>
            <b/>
            <sz val="8"/>
            <rFont val="Tahoma"/>
            <family val="0"/>
          </rPr>
          <t>En général 0,6 f</t>
        </r>
        <r>
          <rPr>
            <b/>
            <vertAlign val="subscript"/>
            <sz val="8"/>
            <rFont val="Tahoma"/>
            <family val="2"/>
          </rPr>
          <t>ck</t>
        </r>
        <r>
          <rPr>
            <b/>
            <sz val="8"/>
            <rFont val="Tahoma"/>
            <family val="2"/>
          </rPr>
          <t xml:space="preserve"> 
Voir art. 7.2 de l'EC2</t>
        </r>
      </text>
    </comment>
    <comment ref="I22" authorId="0">
      <text>
        <r>
          <rPr>
            <b/>
            <sz val="8"/>
            <rFont val="Tahoma"/>
            <family val="0"/>
          </rPr>
          <t>A = acier peu ductile
B = acier moyennement ductile
C = acier très ductile
D = diagramme à palier horizontal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Si le programme ne donne pas de résultats, augmenter N</t>
        </r>
        <r>
          <rPr>
            <b/>
            <vertAlign val="subscript"/>
            <sz val="8"/>
            <rFont val="Tahoma"/>
            <family val="2"/>
          </rPr>
          <t>p</t>
        </r>
      </text>
    </comment>
    <comment ref="B45" authorId="0">
      <text>
        <r>
          <rPr>
            <b/>
            <sz val="8"/>
            <rFont val="Tahoma"/>
            <family val="0"/>
          </rPr>
          <t>Nb lignes</t>
        </r>
        <r>
          <rPr>
            <sz val="8"/>
            <rFont val="Tahoma"/>
            <family val="0"/>
          </rPr>
          <t xml:space="preserve">
Le programme referme automatiquement sur le premier point</t>
        </r>
      </text>
    </comment>
    <comment ref="G45" authorId="0">
      <text>
        <r>
          <rPr>
            <b/>
            <sz val="8"/>
            <rFont val="Tahoma"/>
            <family val="0"/>
          </rPr>
          <t>Na lignes</t>
        </r>
      </text>
    </comment>
    <comment ref="I23" authorId="0">
      <text>
        <r>
          <rPr>
            <b/>
            <sz val="9"/>
            <rFont val="Tahoma"/>
            <family val="0"/>
          </rPr>
          <t>=0 : non prise en compte des armatures comprimées
=1 : prise en compte des armatures comprimées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Henry</author>
  </authors>
  <commentList>
    <comment ref="K2" authorId="0">
      <text>
        <r>
          <rPr>
            <b/>
            <sz val="8"/>
            <color indexed="10"/>
            <rFont val="Tahoma"/>
            <family val="2"/>
          </rPr>
          <t>L'utilisateur est prié de vérifier la pertinence des résultats</t>
        </r>
      </text>
    </comment>
  </commentList>
</comments>
</file>

<file path=xl/sharedStrings.xml><?xml version="1.0" encoding="utf-8"?>
<sst xmlns="http://schemas.openxmlformats.org/spreadsheetml/2006/main" count="412" uniqueCount="277">
  <si>
    <r>
      <t>Le nombre de pas N</t>
    </r>
    <r>
      <rPr>
        <vertAlign val="subscript"/>
        <sz val="9"/>
        <rFont val="Arial"/>
        <family val="2"/>
      </rPr>
      <t>p</t>
    </r>
    <r>
      <rPr>
        <sz val="9"/>
        <rFont val="Arial"/>
        <family val="2"/>
      </rPr>
      <t xml:space="preserve"> permet d'afiiner la précision des calculs</t>
    </r>
  </si>
  <si>
    <r>
      <t>Le temps de calcul est proportionnel au cube de N</t>
    </r>
    <r>
      <rPr>
        <vertAlign val="subscript"/>
        <sz val="9"/>
        <rFont val="Arial"/>
        <family val="2"/>
      </rPr>
      <t>p</t>
    </r>
  </si>
  <si>
    <t xml:space="preserve">        Section brute</t>
  </si>
  <si>
    <t xml:space="preserve">         Section nette</t>
  </si>
  <si>
    <r>
      <t>A</t>
    </r>
    <r>
      <rPr>
        <vertAlign val="subscript"/>
        <sz val="9"/>
        <rFont val="Arial"/>
        <family val="2"/>
      </rPr>
      <t>c</t>
    </r>
  </si>
  <si>
    <r>
      <t>I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/ G</t>
    </r>
  </si>
  <si>
    <r>
      <t>moment d'inertie I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>/Gx</t>
    </r>
  </si>
  <si>
    <r>
      <t>I</t>
    </r>
    <r>
      <rPr>
        <vertAlign val="subscript"/>
        <sz val="9"/>
        <rFont val="Arial"/>
        <family val="2"/>
      </rPr>
      <t>y</t>
    </r>
    <r>
      <rPr>
        <sz val="9"/>
        <rFont val="Arial"/>
        <family val="2"/>
      </rPr>
      <t xml:space="preserve"> / G</t>
    </r>
  </si>
  <si>
    <r>
      <t>moment d'inertie I</t>
    </r>
    <r>
      <rPr>
        <vertAlign val="subscript"/>
        <sz val="9"/>
        <rFont val="Arial"/>
        <family val="2"/>
      </rPr>
      <t>y</t>
    </r>
    <r>
      <rPr>
        <sz val="9"/>
        <rFont val="Arial"/>
        <family val="2"/>
      </rPr>
      <t>/Gx</t>
    </r>
  </si>
  <si>
    <r>
      <t>I</t>
    </r>
    <r>
      <rPr>
        <vertAlign val="subscript"/>
        <sz val="9"/>
        <rFont val="Arial"/>
        <family val="2"/>
      </rPr>
      <t>xy</t>
    </r>
    <r>
      <rPr>
        <sz val="9"/>
        <rFont val="Arial"/>
        <family val="2"/>
      </rPr>
      <t xml:space="preserve"> / G</t>
    </r>
  </si>
  <si>
    <r>
      <t>moment d'inertie I</t>
    </r>
    <r>
      <rPr>
        <vertAlign val="subscript"/>
        <sz val="9"/>
        <rFont val="Arial"/>
        <family val="2"/>
      </rPr>
      <t>xy</t>
    </r>
    <r>
      <rPr>
        <sz val="9"/>
        <rFont val="Arial"/>
        <family val="2"/>
      </rPr>
      <t>/Gx</t>
    </r>
  </si>
  <si>
    <r>
      <t>I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/ G</t>
    </r>
  </si>
  <si>
    <r>
      <t>moment d'inertie principale I</t>
    </r>
    <r>
      <rPr>
        <vertAlign val="subscript"/>
        <sz val="9"/>
        <rFont val="Arial"/>
        <family val="2"/>
      </rPr>
      <t>1</t>
    </r>
  </si>
  <si>
    <r>
      <t>I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/ G</t>
    </r>
  </si>
  <si>
    <r>
      <t>moment d'inertie principale I</t>
    </r>
    <r>
      <rPr>
        <vertAlign val="subscript"/>
        <sz val="9"/>
        <rFont val="Arial"/>
        <family val="2"/>
      </rPr>
      <t>2</t>
    </r>
  </si>
  <si>
    <r>
      <t>S</t>
    </r>
    <r>
      <rPr>
        <sz val="9"/>
        <rFont val="Arial"/>
        <family val="2"/>
      </rPr>
      <t xml:space="preserve"> A</t>
    </r>
    <r>
      <rPr>
        <vertAlign val="subscript"/>
        <sz val="9"/>
        <rFont val="Arial"/>
        <family val="2"/>
      </rPr>
      <t>s</t>
    </r>
  </si>
  <si>
    <t>MPa</t>
  </si>
  <si>
    <t>ELS/ELU</t>
  </si>
  <si>
    <t>axe neutre</t>
  </si>
  <si>
    <t>aire</t>
  </si>
  <si>
    <t>Ø</t>
  </si>
  <si>
    <t>xmax</t>
  </si>
  <si>
    <t>xmin</t>
  </si>
  <si>
    <t>ymax</t>
  </si>
  <si>
    <t>ymin</t>
  </si>
  <si>
    <t xml:space="preserve">               béton</t>
  </si>
  <si>
    <t xml:space="preserve">             acier</t>
  </si>
  <si>
    <t>xG</t>
  </si>
  <si>
    <t>yG</t>
  </si>
  <si>
    <t>phi</t>
  </si>
  <si>
    <t>aire totale béton</t>
  </si>
  <si>
    <t>section totale d'acier</t>
  </si>
  <si>
    <t>Résultats</t>
  </si>
  <si>
    <t>aciers</t>
  </si>
  <si>
    <t>charge</t>
  </si>
  <si>
    <t>d°</t>
  </si>
  <si>
    <t>avant</t>
  </si>
  <si>
    <t>après</t>
  </si>
  <si>
    <t>cdg</t>
  </si>
  <si>
    <t>phi (°)</t>
  </si>
  <si>
    <t>brut</t>
  </si>
  <si>
    <t>net</t>
  </si>
  <si>
    <t xml:space="preserve">      Béton</t>
  </si>
  <si>
    <t>seuls</t>
  </si>
  <si>
    <t>Aciers</t>
  </si>
  <si>
    <t xml:space="preserve">  ELS=1   ;    ELU=2</t>
  </si>
  <si>
    <t>ord. CdG</t>
  </si>
  <si>
    <t>inclinaison axes principaux</t>
  </si>
  <si>
    <t>CAS ICI =</t>
  </si>
  <si>
    <t/>
  </si>
  <si>
    <t>entièrement comprimée en ELS</t>
  </si>
  <si>
    <t>partiellement tendue en ELS</t>
  </si>
  <si>
    <t>entièrement comprimée en ELU</t>
  </si>
  <si>
    <t>partiellement tendue en ELU</t>
  </si>
  <si>
    <r>
      <t>M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= moment par rapport à l'axe Ox   et M</t>
    </r>
    <r>
      <rPr>
        <vertAlign val="subscript"/>
        <sz val="9"/>
        <rFont val="Arial"/>
        <family val="2"/>
      </rPr>
      <t>y</t>
    </r>
    <r>
      <rPr>
        <sz val="9"/>
        <rFont val="Arial"/>
        <family val="2"/>
      </rPr>
      <t xml:space="preserve"> = moment par rapport à l'axe Oy</t>
    </r>
  </si>
  <si>
    <t xml:space="preserve">ELU avec diagramme parabole-rectangle : type = 1    ;    ELU avec diagramme de l'équation 3.14 de l'EC2 : type = 2 </t>
  </si>
  <si>
    <t>Henry THONIER</t>
  </si>
  <si>
    <t>neq</t>
  </si>
  <si>
    <t xml:space="preserve"> effort normal en ELS ou ELU, en section entièrement comprimée ou partiellement tendue</t>
  </si>
  <si>
    <t>béton seul</t>
  </si>
  <si>
    <t>section</t>
  </si>
  <si>
    <t>inertie/GX</t>
  </si>
  <si>
    <t>inertie/GY</t>
  </si>
  <si>
    <r>
      <t>m</t>
    </r>
    <r>
      <rPr>
        <vertAlign val="superscript"/>
        <sz val="9"/>
        <rFont val="Arial"/>
        <family val="2"/>
      </rPr>
      <t>4</t>
    </r>
  </si>
  <si>
    <t>Effort normal (MN)</t>
  </si>
  <si>
    <r>
      <t>Dans le cas où l'effort normal n'est pas nul, on introduira les coordonnées du point d'application de cet effort : abscisse e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et ordonnée e</t>
    </r>
    <r>
      <rPr>
        <vertAlign val="subscript"/>
        <sz val="9"/>
        <rFont val="Arial"/>
        <family val="2"/>
      </rPr>
      <t>y</t>
    </r>
  </si>
  <si>
    <t>EC ELS</t>
  </si>
  <si>
    <t>PT ELS</t>
  </si>
  <si>
    <t>EC ELU</t>
  </si>
  <si>
    <t>PT ELU</t>
  </si>
  <si>
    <t xml:space="preserve">  ELS = 1 : Ent. Compr.</t>
  </si>
  <si>
    <t xml:space="preserve">  ELS = 1 : Part. tendue</t>
  </si>
  <si>
    <t>kmult</t>
  </si>
  <si>
    <t>ECU</t>
  </si>
  <si>
    <t>ec12EC</t>
  </si>
  <si>
    <t>ECS</t>
  </si>
  <si>
    <t>PTS</t>
  </si>
  <si>
    <t>ETU</t>
  </si>
  <si>
    <t>UA Pto</t>
  </si>
  <si>
    <t>UA Eco</t>
  </si>
  <si>
    <t>RETENU</t>
  </si>
  <si>
    <t>thetao</t>
  </si>
  <si>
    <t>sinthetao</t>
  </si>
  <si>
    <t>costhetao</t>
  </si>
  <si>
    <t xml:space="preserve">            RETENU</t>
  </si>
  <si>
    <t xml:space="preserve">  ELU =2 : Part. tendue</t>
  </si>
  <si>
    <t>eb</t>
  </si>
  <si>
    <t>theta°</t>
  </si>
  <si>
    <t>ehm</t>
  </si>
  <si>
    <t>ebm</t>
  </si>
  <si>
    <t>pour info</t>
  </si>
  <si>
    <t>de pi</t>
  </si>
  <si>
    <t>soit en fract.</t>
  </si>
  <si>
    <t xml:space="preserve">La précision est d'autant meilleure </t>
  </si>
  <si>
    <t xml:space="preserve">Pour pouvoir entrer les données normalement, les calculs ne s'effectuent que sur ordre </t>
  </si>
  <si>
    <t>en appuyant sur la touche F9 pour les PC, ou bien en tapant "Pomme + =" sur Macintosh</t>
  </si>
  <si>
    <t>(th-tho) en °</t>
  </si>
  <si>
    <r>
      <t>Si</t>
    </r>
    <r>
      <rPr>
        <sz val="9"/>
        <rFont val="Symbol"/>
        <family val="1"/>
      </rPr>
      <t xml:space="preserve">  a</t>
    </r>
    <r>
      <rPr>
        <vertAlign val="subscript"/>
        <sz val="9"/>
        <rFont val="Arial"/>
        <family val="2"/>
      </rPr>
      <t>cc</t>
    </r>
    <r>
      <rPr>
        <sz val="9"/>
        <rFont val="Arial"/>
        <family val="2"/>
      </rPr>
      <t xml:space="preserve"> &lt; 1  : remplacer 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 xml:space="preserve">  par 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 xml:space="preserve">  /</t>
    </r>
    <r>
      <rPr>
        <sz val="9"/>
        <rFont val="Symbol"/>
        <family val="1"/>
      </rPr>
      <t>a</t>
    </r>
    <r>
      <rPr>
        <vertAlign val="subscript"/>
        <sz val="9"/>
        <rFont val="Arial"/>
        <family val="2"/>
      </rPr>
      <t>cc</t>
    </r>
  </si>
  <si>
    <t>N</t>
  </si>
  <si>
    <t xml:space="preserve">if abs(u) &lt; abs(v) then theta = -ATN(u/v) else theta = ATN(v/u) - Pi/2 </t>
  </si>
  <si>
    <t>u = sin(theta)</t>
  </si>
  <si>
    <t>v = -cos(theta)</t>
  </si>
  <si>
    <t>w = -wo / (uo^2+vo^2)</t>
  </si>
  <si>
    <t>classe d'acier : A = peu ductile ; B = ductile ; C = très ductile ; D = acier à palier</t>
  </si>
  <si>
    <t>euk</t>
  </si>
  <si>
    <t>kc</t>
  </si>
  <si>
    <t>fcm</t>
  </si>
  <si>
    <t>ec1</t>
  </si>
  <si>
    <t>ecu1</t>
  </si>
  <si>
    <t>ec2</t>
  </si>
  <si>
    <t>ecu2</t>
  </si>
  <si>
    <t>eud</t>
  </si>
  <si>
    <t>eso</t>
  </si>
  <si>
    <t>Ecm</t>
  </si>
  <si>
    <t>ks</t>
  </si>
  <si>
    <t>nc</t>
  </si>
  <si>
    <t>ec12</t>
  </si>
  <si>
    <t>ecu</t>
  </si>
  <si>
    <t>.</t>
  </si>
  <si>
    <t>d1</t>
  </si>
  <si>
    <t>d2</t>
  </si>
  <si>
    <t>ecM</t>
  </si>
  <si>
    <t>esM</t>
  </si>
  <si>
    <t>ELS = 1 ; ELU = 2</t>
  </si>
  <si>
    <t>n instant</t>
  </si>
  <si>
    <t>Explications d'utilisation</t>
  </si>
  <si>
    <t>Nombre d'aciers (&lt;= 32)</t>
  </si>
  <si>
    <t>Nombre de sommets du polygône  (&lt;= 32)</t>
  </si>
  <si>
    <t>(selon l'Eurocode 2-1-1)</t>
  </si>
  <si>
    <t>La longueur des calculs est proportionnelle au cube du nombre de pas de calcul</t>
  </si>
  <si>
    <t>puis effectue les calculs à partir de ces nouvelles coordonnées</t>
  </si>
  <si>
    <r>
      <t>Le coefficient d'équivalence n peut être imposé (15 par exemple) ou calculé par E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/E</t>
    </r>
    <r>
      <rPr>
        <vertAlign val="subscript"/>
        <sz val="9"/>
        <rFont val="Arial"/>
        <family val="2"/>
      </rPr>
      <t>cm</t>
    </r>
    <r>
      <rPr>
        <sz val="9"/>
        <rFont val="Arial"/>
        <family val="2"/>
      </rPr>
      <t xml:space="preserve"> </t>
    </r>
  </si>
  <si>
    <t>Les coordonnées des sommets béton et des aciers sont données par rapport à un repère quelconque au choix</t>
  </si>
  <si>
    <t>Le programme recherche le centre de gravité de la section nette (béton + n * aciers) et les axes principaux d'inertie</t>
  </si>
  <si>
    <r>
      <t>Dans le cas où l'effort normal  est nul, on introduira les deux moments M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et M</t>
    </r>
    <r>
      <rPr>
        <vertAlign val="subscript"/>
        <sz val="9"/>
        <rFont val="Arial"/>
        <family val="2"/>
      </rPr>
      <t>y</t>
    </r>
  </si>
  <si>
    <t>cas 1 et 2</t>
  </si>
  <si>
    <t>cas 3</t>
  </si>
  <si>
    <t>geom=</t>
  </si>
  <si>
    <t>degré</t>
  </si>
  <si>
    <t>absc. CdG</t>
  </si>
  <si>
    <r>
      <t>f</t>
    </r>
    <r>
      <rPr>
        <vertAlign val="subscript"/>
        <sz val="9"/>
        <rFont val="Arial"/>
        <family val="2"/>
      </rPr>
      <t>cd</t>
    </r>
    <r>
      <rPr>
        <sz val="9"/>
        <rFont val="Arial"/>
        <family val="2"/>
      </rPr>
      <t xml:space="preserve"> ELS</t>
    </r>
  </si>
  <si>
    <t>Les données sont à écrire dans les cases vertes entourées en gras</t>
  </si>
  <si>
    <t>Programme de calcul de section quelconque de béton armé en flexion déviée</t>
  </si>
  <si>
    <t>MN</t>
  </si>
  <si>
    <t>GF</t>
  </si>
  <si>
    <t>avec sint et cost</t>
  </si>
  <si>
    <t>Dessin de l'axe neutre AN</t>
  </si>
  <si>
    <t>uo</t>
  </si>
  <si>
    <t>vo</t>
  </si>
  <si>
    <t>wo</t>
  </si>
  <si>
    <t>(la section est définie par les coordonnées de ses sommets)</t>
  </si>
  <si>
    <t>a</t>
  </si>
  <si>
    <t>b</t>
  </si>
  <si>
    <t>d</t>
  </si>
  <si>
    <t>entièrement tendue</t>
  </si>
  <si>
    <t>partiellement tendue</t>
  </si>
  <si>
    <t>entièrement comprimée</t>
  </si>
  <si>
    <t>contr.</t>
  </si>
  <si>
    <t>maxi</t>
  </si>
  <si>
    <t>mini</t>
  </si>
  <si>
    <t>theta + à - 0,4 radian</t>
  </si>
  <si>
    <t>Mx</t>
  </si>
  <si>
    <t>My</t>
  </si>
  <si>
    <t>MNm</t>
  </si>
  <si>
    <t>moment/axe principal GX</t>
  </si>
  <si>
    <t>moment/axe principal GY</t>
  </si>
  <si>
    <t>béton</t>
  </si>
  <si>
    <t>acier</t>
  </si>
  <si>
    <t>u</t>
  </si>
  <si>
    <t>v</t>
  </si>
  <si>
    <t>w</t>
  </si>
  <si>
    <t>Coord. des sommets béton</t>
  </si>
  <si>
    <t xml:space="preserve">     Coordonnées et Ø des aciers</t>
  </si>
  <si>
    <t>/CdG</t>
  </si>
  <si>
    <t>données</t>
  </si>
  <si>
    <t>Aire béton =</t>
  </si>
  <si>
    <t>section nette homogène</t>
  </si>
  <si>
    <t xml:space="preserve">    axe neutre ANo</t>
  </si>
  <si>
    <t>si y = 0 :  x =</t>
  </si>
  <si>
    <t>si x = 0 : y =</t>
  </si>
  <si>
    <t>x1</t>
  </si>
  <si>
    <t>y1</t>
  </si>
  <si>
    <t>x2</t>
  </si>
  <si>
    <t>y2</t>
  </si>
  <si>
    <t>ANo</t>
  </si>
  <si>
    <t>x</t>
  </si>
  <si>
    <t>y</t>
  </si>
  <si>
    <t>m</t>
  </si>
  <si>
    <t>mm</t>
  </si>
  <si>
    <r>
      <t>N</t>
    </r>
    <r>
      <rPr>
        <vertAlign val="subscript"/>
        <sz val="9"/>
        <rFont val="Arial"/>
        <family val="2"/>
      </rPr>
      <t>p</t>
    </r>
  </si>
  <si>
    <r>
      <t>N</t>
    </r>
    <r>
      <rPr>
        <vertAlign val="subscript"/>
        <sz val="9"/>
        <rFont val="Arial"/>
        <family val="2"/>
      </rPr>
      <t>b</t>
    </r>
  </si>
  <si>
    <r>
      <t>N</t>
    </r>
    <r>
      <rPr>
        <vertAlign val="subscript"/>
        <sz val="9"/>
        <rFont val="Arial"/>
        <family val="2"/>
      </rPr>
      <t>a</t>
    </r>
  </si>
  <si>
    <r>
      <t>f</t>
    </r>
    <r>
      <rPr>
        <vertAlign val="subscript"/>
        <sz val="9"/>
        <rFont val="Arial"/>
        <family val="2"/>
      </rPr>
      <t>ck</t>
    </r>
  </si>
  <si>
    <r>
      <t>f</t>
    </r>
    <r>
      <rPr>
        <vertAlign val="subscript"/>
        <sz val="9"/>
        <rFont val="Arial"/>
        <family val="2"/>
      </rPr>
      <t>yk</t>
    </r>
  </si>
  <si>
    <r>
      <t>e</t>
    </r>
    <r>
      <rPr>
        <vertAlign val="subscript"/>
        <sz val="9"/>
        <rFont val="Arial"/>
        <family val="2"/>
      </rPr>
      <t>x</t>
    </r>
  </si>
  <si>
    <r>
      <t>e</t>
    </r>
    <r>
      <rPr>
        <vertAlign val="subscript"/>
        <sz val="9"/>
        <rFont val="Arial"/>
        <family val="2"/>
      </rPr>
      <t>y</t>
    </r>
  </si>
  <si>
    <r>
      <t>M</t>
    </r>
    <r>
      <rPr>
        <vertAlign val="subscript"/>
        <sz val="9"/>
        <rFont val="Arial"/>
        <family val="2"/>
      </rPr>
      <t>x</t>
    </r>
  </si>
  <si>
    <r>
      <t>M</t>
    </r>
    <r>
      <rPr>
        <vertAlign val="subscript"/>
        <sz val="9"/>
        <rFont val="Arial"/>
        <family val="2"/>
      </rPr>
      <t>y</t>
    </r>
  </si>
  <si>
    <r>
      <t>x</t>
    </r>
    <r>
      <rPr>
        <vertAlign val="subscript"/>
        <sz val="9"/>
        <rFont val="Arial"/>
        <family val="2"/>
      </rPr>
      <t>G</t>
    </r>
  </si>
  <si>
    <r>
      <t>y</t>
    </r>
    <r>
      <rPr>
        <vertAlign val="subscript"/>
        <sz val="9"/>
        <rFont val="Arial"/>
        <family val="2"/>
      </rPr>
      <t>G</t>
    </r>
  </si>
  <si>
    <r>
      <t>m</t>
    </r>
    <r>
      <rPr>
        <vertAlign val="superscript"/>
        <sz val="9"/>
        <rFont val="Arial"/>
        <family val="2"/>
      </rPr>
      <t>2</t>
    </r>
  </si>
  <si>
    <r>
      <t>cm</t>
    </r>
    <r>
      <rPr>
        <vertAlign val="superscript"/>
        <sz val="9"/>
        <rFont val="Arial"/>
        <family val="2"/>
      </rPr>
      <t>2</t>
    </r>
  </si>
  <si>
    <t>Aire aciers =</t>
  </si>
  <si>
    <r>
      <t>s</t>
    </r>
    <r>
      <rPr>
        <vertAlign val="subscript"/>
        <sz val="9"/>
        <rFont val="Arial"/>
        <family val="2"/>
      </rPr>
      <t>c</t>
    </r>
  </si>
  <si>
    <r>
      <t>s</t>
    </r>
    <r>
      <rPr>
        <vertAlign val="subscript"/>
        <sz val="9"/>
        <rFont val="Arial"/>
        <family val="2"/>
      </rPr>
      <t>s</t>
    </r>
  </si>
  <si>
    <t>Coordonnées du CdG/ancien repère</t>
  </si>
  <si>
    <t>°</t>
  </si>
  <si>
    <t>theta</t>
  </si>
  <si>
    <t>d acier</t>
  </si>
  <si>
    <t>d haut</t>
  </si>
  <si>
    <t>d bas</t>
  </si>
  <si>
    <t>D</t>
  </si>
  <si>
    <t xml:space="preserve">  ELU = 2 : Ent. Compr.</t>
  </si>
  <si>
    <r>
      <t>g</t>
    </r>
    <r>
      <rPr>
        <vertAlign val="subscript"/>
        <sz val="9"/>
        <rFont val="Arial"/>
        <family val="2"/>
      </rPr>
      <t>c</t>
    </r>
  </si>
  <si>
    <r>
      <t>g</t>
    </r>
    <r>
      <rPr>
        <vertAlign val="subscript"/>
        <sz val="9"/>
        <rFont val="Arial"/>
        <family val="2"/>
      </rPr>
      <t>s</t>
    </r>
  </si>
  <si>
    <t>Contraintes en MPa</t>
  </si>
  <si>
    <r>
      <t xml:space="preserve">      Pour un calcul en</t>
    </r>
    <r>
      <rPr>
        <b/>
        <sz val="9"/>
        <rFont val="Arial"/>
        <family val="2"/>
      </rPr>
      <t xml:space="preserve"> ELS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(si ELS/ELU = 1)</t>
    </r>
  </si>
  <si>
    <r>
      <t xml:space="preserve">     Pour un calcul en </t>
    </r>
    <r>
      <rPr>
        <b/>
        <sz val="9"/>
        <rFont val="Arial"/>
        <family val="2"/>
      </rPr>
      <t xml:space="preserve">ELU </t>
    </r>
    <r>
      <rPr>
        <sz val="8"/>
        <rFont val="Arial"/>
        <family val="2"/>
      </rPr>
      <t>(si ELS/ELU = 2)</t>
    </r>
  </si>
  <si>
    <r>
      <t>Données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(voir mode d'emploi en onglet de feuille en bas d'écran) Touche F9 pour exécuter</t>
    </r>
  </si>
  <si>
    <t>De</t>
  </si>
  <si>
    <t>Précision des calculs</t>
  </si>
  <si>
    <t>que cette valeur est voisine de 0</t>
  </si>
  <si>
    <t>Contraintes Béton</t>
  </si>
  <si>
    <t>preci</t>
  </si>
  <si>
    <t>selon  Annexe C de l'EC2-1-1</t>
  </si>
  <si>
    <r>
      <t>f</t>
    </r>
    <r>
      <rPr>
        <vertAlign val="subscript"/>
        <sz val="9"/>
        <rFont val="Arial"/>
        <family val="2"/>
      </rPr>
      <t>cd</t>
    </r>
    <r>
      <rPr>
        <sz val="9"/>
        <rFont val="Arial"/>
        <family val="2"/>
      </rPr>
      <t xml:space="preserve"> contrainte limite de compression du béton en ELS</t>
    </r>
  </si>
  <si>
    <r>
      <t>f</t>
    </r>
    <r>
      <rPr>
        <vertAlign val="subscript"/>
        <sz val="9"/>
        <rFont val="Arial"/>
        <family val="2"/>
      </rPr>
      <t>sd</t>
    </r>
    <r>
      <rPr>
        <sz val="9"/>
        <rFont val="Arial"/>
        <family val="2"/>
      </rPr>
      <t xml:space="preserve"> contrainte limite de traction de l'acier en ELS</t>
    </r>
  </si>
  <si>
    <r>
      <t>f</t>
    </r>
    <r>
      <rPr>
        <vertAlign val="subscript"/>
        <sz val="9"/>
        <rFont val="Arial"/>
        <family val="2"/>
      </rPr>
      <t>sd</t>
    </r>
    <r>
      <rPr>
        <sz val="9"/>
        <rFont val="Arial"/>
        <family val="2"/>
      </rPr>
      <t xml:space="preserve"> ELS</t>
    </r>
  </si>
  <si>
    <r>
      <t>g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 xml:space="preserve"> (= 1,5 en général)</t>
    </r>
  </si>
  <si>
    <r>
      <t>g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(= 1,15 en général)</t>
    </r>
  </si>
  <si>
    <t>coefficient sur le matériau béton</t>
  </si>
  <si>
    <t>coefficient sur le matériau acier</t>
  </si>
  <si>
    <r>
      <t>a</t>
    </r>
    <r>
      <rPr>
        <vertAlign val="subscript"/>
        <sz val="9"/>
        <rFont val="Arial"/>
        <family val="2"/>
      </rPr>
      <t>e</t>
    </r>
  </si>
  <si>
    <t>L'auteur n'est pas</t>
  </si>
  <si>
    <t>responsable de</t>
  </si>
  <si>
    <t>l'utilisation faite</t>
  </si>
  <si>
    <t>de ce programme</t>
  </si>
  <si>
    <t>A</t>
  </si>
  <si>
    <t>B</t>
  </si>
  <si>
    <t>C</t>
  </si>
  <si>
    <t>Tableau des caractéristiques des bétons selon EC2</t>
  </si>
  <si>
    <t>fck</t>
  </si>
  <si>
    <t>fctm</t>
  </si>
  <si>
    <t>n</t>
  </si>
  <si>
    <r>
      <t>v</t>
    </r>
    <r>
      <rPr>
        <vertAlign val="subscript"/>
        <sz val="9"/>
        <color indexed="9"/>
        <rFont val="Arial"/>
        <family val="2"/>
      </rPr>
      <t>o</t>
    </r>
    <r>
      <rPr>
        <sz val="9"/>
        <color indexed="9"/>
        <rFont val="Arial"/>
        <family val="2"/>
      </rPr>
      <t xml:space="preserve"> = M</t>
    </r>
    <r>
      <rPr>
        <vertAlign val="subscript"/>
        <sz val="9"/>
        <color indexed="9"/>
        <rFont val="Arial"/>
        <family val="2"/>
      </rPr>
      <t>x</t>
    </r>
    <r>
      <rPr>
        <sz val="9"/>
        <color indexed="9"/>
        <rFont val="Arial"/>
        <family val="2"/>
      </rPr>
      <t>/I</t>
    </r>
    <r>
      <rPr>
        <vertAlign val="subscript"/>
        <sz val="9"/>
        <color indexed="9"/>
        <rFont val="Arial"/>
        <family val="2"/>
      </rPr>
      <t>x</t>
    </r>
  </si>
  <si>
    <r>
      <t>w</t>
    </r>
    <r>
      <rPr>
        <vertAlign val="subscript"/>
        <sz val="9"/>
        <color indexed="9"/>
        <rFont val="Arial"/>
        <family val="2"/>
      </rPr>
      <t>o</t>
    </r>
    <r>
      <rPr>
        <sz val="9"/>
        <color indexed="9"/>
        <rFont val="Arial"/>
        <family val="2"/>
      </rPr>
      <t xml:space="preserve"> = N/S</t>
    </r>
  </si>
  <si>
    <r>
      <t>u</t>
    </r>
    <r>
      <rPr>
        <vertAlign val="subscript"/>
        <sz val="9"/>
        <color indexed="9"/>
        <rFont val="Arial"/>
        <family val="2"/>
      </rPr>
      <t>o</t>
    </r>
    <r>
      <rPr>
        <sz val="9"/>
        <color indexed="9"/>
        <rFont val="Arial"/>
        <family val="2"/>
      </rPr>
      <t xml:space="preserve"> = M</t>
    </r>
    <r>
      <rPr>
        <vertAlign val="subscript"/>
        <sz val="9"/>
        <color indexed="9"/>
        <rFont val="Arial"/>
        <family val="2"/>
      </rPr>
      <t>y</t>
    </r>
    <r>
      <rPr>
        <sz val="9"/>
        <color indexed="9"/>
        <rFont val="Arial"/>
        <family val="2"/>
      </rPr>
      <t>/I</t>
    </r>
    <r>
      <rPr>
        <vertAlign val="subscript"/>
        <sz val="9"/>
        <color indexed="9"/>
        <rFont val="Arial"/>
        <family val="2"/>
      </rPr>
      <t>y</t>
    </r>
  </si>
  <si>
    <r>
      <t>2 boucles de d = dy</t>
    </r>
    <r>
      <rPr>
        <vertAlign val="subscript"/>
        <sz val="9"/>
        <color indexed="9"/>
        <rFont val="Arial"/>
        <family val="2"/>
      </rPr>
      <t>1</t>
    </r>
    <r>
      <rPr>
        <sz val="9"/>
        <color indexed="9"/>
        <rFont val="Arial"/>
        <family val="2"/>
      </rPr>
      <t xml:space="preserve"> à dy</t>
    </r>
    <r>
      <rPr>
        <vertAlign val="subscript"/>
        <sz val="9"/>
        <color indexed="9"/>
        <rFont val="Arial"/>
        <family val="2"/>
      </rPr>
      <t>2</t>
    </r>
  </si>
  <si>
    <t>Nombre de pas de calcul (5 à 12)</t>
  </si>
  <si>
    <t>axes principaux</t>
  </si>
  <si>
    <t>x0</t>
  </si>
  <si>
    <t>y0</t>
  </si>
  <si>
    <t>phi (rd)</t>
  </si>
  <si>
    <t>xa</t>
  </si>
  <si>
    <t>ya</t>
  </si>
  <si>
    <t>xb</t>
  </si>
  <si>
    <t>yb</t>
  </si>
  <si>
    <t>uX</t>
  </si>
  <si>
    <t>vX</t>
  </si>
  <si>
    <t>wX</t>
  </si>
  <si>
    <t>uY</t>
  </si>
  <si>
    <t>vY</t>
  </si>
  <si>
    <t>wY</t>
  </si>
  <si>
    <t>axe GX</t>
  </si>
  <si>
    <t>axe GY</t>
  </si>
  <si>
    <t>rectangle sommets</t>
  </si>
  <si>
    <t>axe neutre, section béton &amp; aciers</t>
  </si>
  <si>
    <t>Ancien répère</t>
  </si>
  <si>
    <t>Nouveau repère</t>
  </si>
  <si>
    <t>pente =</t>
  </si>
  <si>
    <t>q</t>
  </si>
  <si>
    <r>
      <t>Moment M</t>
    </r>
    <r>
      <rPr>
        <vertAlign val="subscript"/>
        <sz val="9"/>
        <rFont val="Arial"/>
        <family val="2"/>
      </rPr>
      <t>y</t>
    </r>
    <r>
      <rPr>
        <sz val="9"/>
        <rFont val="Arial"/>
        <family val="2"/>
      </rPr>
      <t xml:space="preserve"> (MNm) si N = 0  ou  Excentricité e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(m) suivant Ox si  N </t>
    </r>
    <r>
      <rPr>
        <sz val="9"/>
        <rFont val="Arial"/>
        <family val="0"/>
      </rPr>
      <t>≠</t>
    </r>
    <r>
      <rPr>
        <sz val="9"/>
        <rFont val="Arial"/>
        <family val="2"/>
      </rPr>
      <t xml:space="preserve"> 0</t>
    </r>
  </si>
  <si>
    <r>
      <t>Moment M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(MNm) si N = 0  ou  Excentricité e</t>
    </r>
    <r>
      <rPr>
        <vertAlign val="subscript"/>
        <sz val="9"/>
        <rFont val="Arial"/>
        <family val="2"/>
      </rPr>
      <t>y</t>
    </r>
    <r>
      <rPr>
        <sz val="9"/>
        <rFont val="Arial"/>
        <family val="2"/>
      </rPr>
      <t xml:space="preserve"> (m) suivant Ox si  N </t>
    </r>
    <r>
      <rPr>
        <sz val="9"/>
        <rFont val="Arial"/>
        <family val="0"/>
      </rPr>
      <t>≠</t>
    </r>
    <r>
      <rPr>
        <sz val="9"/>
        <rFont val="Arial"/>
        <family val="2"/>
      </rPr>
      <t xml:space="preserve"> 0</t>
    </r>
  </si>
  <si>
    <t>= 0  ou 1 :  armatures comprimées</t>
  </si>
  <si>
    <t>162 - Calcul de section quelconque de béton armé en flexion composée ou déviée avec ou sans</t>
  </si>
  <si>
    <t xml:space="preserve">Ce document est protégé par le droit d’auteur © Henry Thonier - EGF </t>
  </si>
  <si>
    <t>H. Thonier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</si>
</sst>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&quot; mm&quot;"/>
    <numFmt numFmtId="200" formatCode="0.00&quot; mm&quot;"/>
    <numFmt numFmtId="201" formatCode="0.000&quot; °&quot;"/>
    <numFmt numFmtId="202" formatCode="&quot;(&quot;##\.#&quot;°)&quot;"/>
    <numFmt numFmtId="203" formatCode="&quot;(&quot;###\.#&quot;°)&quot;"/>
    <numFmt numFmtId="204" formatCode="&quot;(&quot;####\.#&quot;°)&quot;"/>
    <numFmt numFmtId="205" formatCode="0.0&quot;°&quot;"/>
    <numFmt numFmtId="206" formatCode="0.0%"/>
    <numFmt numFmtId="207" formatCode="[$-40C]dddd\ d\ mmmm\ yyyy"/>
  </numFmts>
  <fonts count="37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sz val="9"/>
      <color indexed="12"/>
      <name val="Arial"/>
      <family val="2"/>
    </font>
    <font>
      <sz val="9"/>
      <name val="Symbol"/>
      <family val="1"/>
    </font>
    <font>
      <sz val="8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sz val="9.25"/>
      <name val="Helv"/>
      <family val="0"/>
    </font>
    <font>
      <sz val="9"/>
      <color indexed="43"/>
      <name val="Arial"/>
      <family val="2"/>
    </font>
    <font>
      <sz val="9"/>
      <color indexed="9"/>
      <name val="Arial"/>
      <family val="2"/>
    </font>
    <font>
      <sz val="9"/>
      <color indexed="9"/>
      <name val="Helv"/>
      <family val="0"/>
    </font>
    <font>
      <sz val="9"/>
      <color indexed="9"/>
      <name val="Symbol"/>
      <family val="1"/>
    </font>
    <font>
      <b/>
      <sz val="9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vertAlign val="subscript"/>
      <sz val="8"/>
      <name val="Tahoma"/>
      <family val="2"/>
    </font>
    <font>
      <sz val="9"/>
      <name val="Arial Narrow"/>
      <family val="2"/>
    </font>
    <font>
      <b/>
      <sz val="9"/>
      <color indexed="12"/>
      <name val="Arial"/>
      <family val="2"/>
    </font>
    <font>
      <sz val="9.25"/>
      <name val="Arial"/>
      <family val="2"/>
    </font>
    <font>
      <vertAlign val="subscript"/>
      <sz val="9"/>
      <color indexed="9"/>
      <name val="Arial"/>
      <family val="2"/>
    </font>
    <font>
      <i/>
      <sz val="9"/>
      <name val="Arial"/>
      <family val="2"/>
    </font>
    <font>
      <sz val="9.75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Arial Narrow"/>
      <family val="2"/>
    </font>
    <font>
      <b/>
      <sz val="8"/>
      <color indexed="10"/>
      <name val="Tahoma"/>
      <family val="2"/>
    </font>
    <font>
      <b/>
      <sz val="8"/>
      <name val="Helv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 style="hair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ck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n"/>
      <right>
        <color indexed="63"/>
      </right>
      <top style="hair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 style="hair"/>
      <bottom style="hair"/>
    </border>
    <border>
      <left style="thick"/>
      <right style="thick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/>
      <protection locked="0"/>
    </xf>
    <xf numFmtId="17" fontId="6" fillId="0" borderId="0" xfId="0" applyNumberFormat="1" applyFont="1" applyAlignment="1" quotePrefix="1">
      <alignment horizontal="center"/>
    </xf>
    <xf numFmtId="0" fontId="6" fillId="2" borderId="6" xfId="0" applyFont="1" applyFill="1" applyBorder="1" applyAlignment="1" applyProtection="1">
      <alignment/>
      <protection locked="0"/>
    </xf>
    <xf numFmtId="0" fontId="6" fillId="2" borderId="12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6" fillId="0" borderId="16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 inden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3" borderId="19" xfId="0" applyFont="1" applyFill="1" applyBorder="1" applyAlignment="1" applyProtection="1">
      <alignment horizontal="left"/>
      <protection/>
    </xf>
    <xf numFmtId="0" fontId="6" fillId="3" borderId="20" xfId="0" applyFont="1" applyFill="1" applyBorder="1" applyAlignment="1" applyProtection="1">
      <alignment/>
      <protection/>
    </xf>
    <xf numFmtId="0" fontId="6" fillId="3" borderId="21" xfId="0" applyFont="1" applyFill="1" applyBorder="1" applyAlignment="1" applyProtection="1">
      <alignment/>
      <protection/>
    </xf>
    <xf numFmtId="0" fontId="6" fillId="4" borderId="19" xfId="0" applyFont="1" applyFill="1" applyBorder="1" applyAlignment="1" applyProtection="1">
      <alignment horizontal="left"/>
      <protection/>
    </xf>
    <xf numFmtId="0" fontId="6" fillId="4" borderId="22" xfId="0" applyFont="1" applyFill="1" applyBorder="1" applyAlignment="1" applyProtection="1">
      <alignment horizontal="center"/>
      <protection/>
    </xf>
    <xf numFmtId="0" fontId="6" fillId="4" borderId="20" xfId="0" applyFont="1" applyFill="1" applyBorder="1" applyAlignment="1" applyProtection="1">
      <alignment/>
      <protection/>
    </xf>
    <xf numFmtId="0" fontId="6" fillId="4" borderId="21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6" fillId="3" borderId="14" xfId="0" applyFont="1" applyFill="1" applyBorder="1" applyAlignment="1" applyProtection="1">
      <alignment/>
      <protection/>
    </xf>
    <xf numFmtId="0" fontId="6" fillId="4" borderId="13" xfId="0" applyFont="1" applyFill="1" applyBorder="1" applyAlignment="1" applyProtection="1">
      <alignment horizontal="right" indent="1"/>
      <protection/>
    </xf>
    <xf numFmtId="0" fontId="6" fillId="4" borderId="0" xfId="0" applyFont="1" applyFill="1" applyBorder="1" applyAlignment="1" applyProtection="1">
      <alignment/>
      <protection/>
    </xf>
    <xf numFmtId="0" fontId="6" fillId="4" borderId="14" xfId="0" applyFont="1" applyFill="1" applyBorder="1" applyAlignment="1" applyProtection="1">
      <alignment/>
      <protection/>
    </xf>
    <xf numFmtId="0" fontId="13" fillId="4" borderId="13" xfId="0" applyFont="1" applyFill="1" applyBorder="1" applyAlignment="1" applyProtection="1">
      <alignment horizontal="center"/>
      <protection/>
    </xf>
    <xf numFmtId="0" fontId="6" fillId="4" borderId="14" xfId="0" applyFont="1" applyFill="1" applyBorder="1" applyAlignment="1" applyProtection="1">
      <alignment horizontal="center"/>
      <protection/>
    </xf>
    <xf numFmtId="0" fontId="6" fillId="3" borderId="23" xfId="0" applyFont="1" applyFill="1" applyBorder="1" applyAlignment="1" applyProtection="1">
      <alignment/>
      <protection/>
    </xf>
    <xf numFmtId="0" fontId="6" fillId="3" borderId="15" xfId="0" applyFont="1" applyFill="1" applyBorder="1" applyAlignment="1" applyProtection="1">
      <alignment/>
      <protection/>
    </xf>
    <xf numFmtId="0" fontId="6" fillId="3" borderId="15" xfId="0" applyFont="1" applyFill="1" applyBorder="1" applyAlignment="1" applyProtection="1" quotePrefix="1">
      <alignment/>
      <protection/>
    </xf>
    <xf numFmtId="0" fontId="6" fillId="3" borderId="24" xfId="0" applyFont="1" applyFill="1" applyBorder="1" applyAlignment="1" applyProtection="1">
      <alignment/>
      <protection/>
    </xf>
    <xf numFmtId="0" fontId="6" fillId="4" borderId="23" xfId="0" applyFont="1" applyFill="1" applyBorder="1" applyAlignment="1" applyProtection="1">
      <alignment horizontal="right" indent="1"/>
      <protection/>
    </xf>
    <xf numFmtId="0" fontId="6" fillId="4" borderId="15" xfId="0" applyFont="1" applyFill="1" applyBorder="1" applyAlignment="1" applyProtection="1">
      <alignment/>
      <protection/>
    </xf>
    <xf numFmtId="0" fontId="6" fillId="4" borderId="24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180" fontId="6" fillId="0" borderId="0" xfId="0" applyNumberFormat="1" applyFont="1" applyFill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left"/>
      <protection/>
    </xf>
    <xf numFmtId="0" fontId="6" fillId="0" borderId="28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2" fontId="12" fillId="0" borderId="32" xfId="0" applyNumberFormat="1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2" fontId="6" fillId="0" borderId="31" xfId="0" applyNumberFormat="1" applyFont="1" applyBorder="1" applyAlignment="1" applyProtection="1">
      <alignment horizontal="center"/>
      <protection/>
    </xf>
    <xf numFmtId="2" fontId="12" fillId="0" borderId="33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2" fontId="12" fillId="0" borderId="7" xfId="0" applyNumberFormat="1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2" fontId="6" fillId="0" borderId="34" xfId="0" applyNumberFormat="1" applyFont="1" applyBorder="1" applyAlignment="1" applyProtection="1">
      <alignment horizontal="center"/>
      <protection/>
    </xf>
    <xf numFmtId="2" fontId="12" fillId="0" borderId="9" xfId="0" applyNumberFormat="1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2" fontId="12" fillId="0" borderId="37" xfId="0" applyNumberFormat="1" applyFont="1" applyBorder="1" applyAlignment="1" applyProtection="1">
      <alignment horizontal="center"/>
      <protection/>
    </xf>
    <xf numFmtId="2" fontId="6" fillId="0" borderId="38" xfId="0" applyNumberFormat="1" applyFont="1" applyBorder="1" applyAlignment="1" applyProtection="1">
      <alignment horizontal="center"/>
      <protection/>
    </xf>
    <xf numFmtId="0" fontId="6" fillId="3" borderId="13" xfId="0" applyFont="1" applyFill="1" applyBorder="1" applyAlignment="1" applyProtection="1">
      <alignment horizontal="center"/>
      <protection/>
    </xf>
    <xf numFmtId="180" fontId="6" fillId="0" borderId="18" xfId="0" applyNumberFormat="1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2" fontId="6" fillId="0" borderId="18" xfId="0" applyNumberFormat="1" applyFont="1" applyFill="1" applyBorder="1" applyAlignment="1" applyProtection="1">
      <alignment horizontal="center"/>
      <protection/>
    </xf>
    <xf numFmtId="0" fontId="6" fillId="2" borderId="39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 quotePrefix="1">
      <alignment/>
      <protection/>
    </xf>
    <xf numFmtId="0" fontId="16" fillId="0" borderId="0" xfId="0" applyFont="1" applyAlignment="1" applyProtection="1">
      <alignment/>
      <protection/>
    </xf>
    <xf numFmtId="184" fontId="9" fillId="0" borderId="0" xfId="0" applyNumberFormat="1" applyFont="1" applyAlignment="1" applyProtection="1">
      <alignment horizontal="left"/>
      <protection/>
    </xf>
    <xf numFmtId="183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0" fontId="15" fillId="0" borderId="0" xfId="0" applyFont="1" applyFill="1" applyAlignment="1" applyProtection="1">
      <alignment horizontal="left"/>
      <protection/>
    </xf>
    <xf numFmtId="0" fontId="6" fillId="0" borderId="28" xfId="0" applyFont="1" applyBorder="1" applyAlignment="1" applyProtection="1">
      <alignment horizontal="right"/>
      <protection/>
    </xf>
    <xf numFmtId="0" fontId="13" fillId="0" borderId="0" xfId="0" applyFont="1" applyAlignment="1">
      <alignment/>
    </xf>
    <xf numFmtId="0" fontId="7" fillId="0" borderId="0" xfId="0" applyFont="1" applyFill="1" applyAlignment="1" applyProtection="1">
      <alignment horizontal="center"/>
      <protection/>
    </xf>
    <xf numFmtId="0" fontId="6" fillId="5" borderId="19" xfId="0" applyFont="1" applyFill="1" applyBorder="1" applyAlignment="1" applyProtection="1">
      <alignment/>
      <protection/>
    </xf>
    <xf numFmtId="0" fontId="6" fillId="5" borderId="21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 horizontal="right"/>
      <protection/>
    </xf>
    <xf numFmtId="0" fontId="6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horizontal="left"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24" xfId="0" applyFont="1" applyFill="1" applyBorder="1" applyAlignment="1" applyProtection="1">
      <alignment/>
      <protection/>
    </xf>
    <xf numFmtId="2" fontId="18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left"/>
      <protection/>
    </xf>
    <xf numFmtId="180" fontId="6" fillId="0" borderId="0" xfId="0" applyNumberFormat="1" applyFont="1" applyAlignment="1" applyProtection="1">
      <alignment horizontal="center"/>
      <protection/>
    </xf>
    <xf numFmtId="17" fontId="6" fillId="0" borderId="0" xfId="0" applyNumberFormat="1" applyFont="1" applyAlignment="1" applyProtection="1" quotePrefix="1">
      <alignment horizontal="center"/>
      <protection/>
    </xf>
    <xf numFmtId="0" fontId="19" fillId="5" borderId="0" xfId="0" applyFont="1" applyFill="1" applyBorder="1" applyAlignment="1" applyProtection="1">
      <alignment horizontal="right"/>
      <protection/>
    </xf>
    <xf numFmtId="0" fontId="19" fillId="5" borderId="0" xfId="0" applyFont="1" applyFill="1" applyBorder="1" applyAlignment="1" applyProtection="1">
      <alignment/>
      <protection/>
    </xf>
    <xf numFmtId="0" fontId="19" fillId="5" borderId="0" xfId="0" applyFont="1" applyFill="1" applyBorder="1" applyAlignment="1" applyProtection="1">
      <alignment horizontal="left"/>
      <protection/>
    </xf>
    <xf numFmtId="0" fontId="21" fillId="5" borderId="13" xfId="0" applyFont="1" applyFill="1" applyBorder="1" applyAlignment="1" applyProtection="1">
      <alignment horizontal="center"/>
      <protection/>
    </xf>
    <xf numFmtId="0" fontId="19" fillId="5" borderId="0" xfId="0" applyFont="1" applyFill="1" applyBorder="1" applyAlignment="1" applyProtection="1">
      <alignment horizontal="center"/>
      <protection/>
    </xf>
    <xf numFmtId="0" fontId="19" fillId="5" borderId="19" xfId="0" applyFont="1" applyFill="1" applyBorder="1" applyAlignment="1" applyProtection="1">
      <alignment horizontal="center"/>
      <protection/>
    </xf>
    <xf numFmtId="0" fontId="19" fillId="5" borderId="21" xfId="0" applyFont="1" applyFill="1" applyBorder="1" applyAlignment="1" applyProtection="1">
      <alignment horizontal="center"/>
      <protection/>
    </xf>
    <xf numFmtId="17" fontId="19" fillId="5" borderId="0" xfId="0" applyNumberFormat="1" applyFont="1" applyFill="1" applyBorder="1" applyAlignment="1" applyProtection="1" quotePrefix="1">
      <alignment horizontal="right"/>
      <protection/>
    </xf>
    <xf numFmtId="0" fontId="20" fillId="5" borderId="0" xfId="0" applyFont="1" applyFill="1" applyBorder="1" applyAlignment="1" applyProtection="1">
      <alignment/>
      <protection/>
    </xf>
    <xf numFmtId="0" fontId="19" fillId="5" borderId="13" xfId="0" applyFont="1" applyFill="1" applyBorder="1" applyAlignment="1" applyProtection="1" quotePrefix="1">
      <alignment horizontal="center"/>
      <protection/>
    </xf>
    <xf numFmtId="0" fontId="19" fillId="5" borderId="14" xfId="0" applyFont="1" applyFill="1" applyBorder="1" applyAlignment="1" applyProtection="1">
      <alignment horizontal="center"/>
      <protection/>
    </xf>
    <xf numFmtId="185" fontId="19" fillId="5" borderId="23" xfId="0" applyNumberFormat="1" applyFont="1" applyFill="1" applyBorder="1" applyAlignment="1" applyProtection="1">
      <alignment horizontal="center"/>
      <protection/>
    </xf>
    <xf numFmtId="206" fontId="19" fillId="5" borderId="24" xfId="21" applyNumberFormat="1" applyFont="1" applyFill="1" applyBorder="1" applyAlignment="1" applyProtection="1">
      <alignment horizontal="center"/>
      <protection/>
    </xf>
    <xf numFmtId="22" fontId="19" fillId="5" borderId="0" xfId="0" applyNumberFormat="1" applyFont="1" applyFill="1" applyBorder="1" applyAlignment="1" applyProtection="1">
      <alignment horizontal="center"/>
      <protection/>
    </xf>
    <xf numFmtId="0" fontId="22" fillId="5" borderId="25" xfId="0" applyFont="1" applyFill="1" applyBorder="1" applyAlignment="1" applyProtection="1">
      <alignment/>
      <protection/>
    </xf>
    <xf numFmtId="0" fontId="22" fillId="5" borderId="16" xfId="0" applyFont="1" applyFill="1" applyBorder="1" applyAlignment="1" applyProtection="1">
      <alignment/>
      <protection/>
    </xf>
    <xf numFmtId="0" fontId="22" fillId="5" borderId="24" xfId="0" applyFont="1" applyFill="1" applyBorder="1" applyAlignment="1" applyProtection="1">
      <alignment/>
      <protection/>
    </xf>
    <xf numFmtId="0" fontId="22" fillId="5" borderId="23" xfId="0" applyFont="1" applyFill="1" applyBorder="1" applyAlignment="1" applyProtection="1">
      <alignment/>
      <protection/>
    </xf>
    <xf numFmtId="0" fontId="19" fillId="5" borderId="27" xfId="0" applyFont="1" applyFill="1" applyBorder="1" applyAlignment="1" applyProtection="1">
      <alignment horizontal="center"/>
      <protection/>
    </xf>
    <xf numFmtId="0" fontId="19" fillId="5" borderId="25" xfId="0" applyFont="1" applyFill="1" applyBorder="1" applyAlignment="1" applyProtection="1">
      <alignment/>
      <protection/>
    </xf>
    <xf numFmtId="0" fontId="19" fillId="5" borderId="16" xfId="0" applyFont="1" applyFill="1" applyBorder="1" applyAlignment="1" applyProtection="1">
      <alignment/>
      <protection/>
    </xf>
    <xf numFmtId="0" fontId="19" fillId="5" borderId="13" xfId="0" applyFont="1" applyFill="1" applyBorder="1" applyAlignment="1" applyProtection="1">
      <alignment/>
      <protection/>
    </xf>
    <xf numFmtId="0" fontId="19" fillId="5" borderId="26" xfId="0" applyFont="1" applyFill="1" applyBorder="1" applyAlignment="1" applyProtection="1">
      <alignment horizontal="center"/>
      <protection/>
    </xf>
    <xf numFmtId="0" fontId="19" fillId="5" borderId="13" xfId="0" applyFont="1" applyFill="1" applyBorder="1" applyAlignment="1" applyProtection="1">
      <alignment horizontal="center"/>
      <protection/>
    </xf>
    <xf numFmtId="0" fontId="19" fillId="5" borderId="17" xfId="0" applyFont="1" applyFill="1" applyBorder="1" applyAlignment="1" applyProtection="1">
      <alignment horizontal="center"/>
      <protection/>
    </xf>
    <xf numFmtId="0" fontId="19" fillId="5" borderId="21" xfId="0" applyFont="1" applyFill="1" applyBorder="1" applyAlignment="1" applyProtection="1">
      <alignment/>
      <protection/>
    </xf>
    <xf numFmtId="0" fontId="19" fillId="5" borderId="17" xfId="0" applyNumberFormat="1" applyFont="1" applyFill="1" applyBorder="1" applyAlignment="1" applyProtection="1">
      <alignment horizontal="center"/>
      <protection/>
    </xf>
    <xf numFmtId="0" fontId="19" fillId="5" borderId="19" xfId="0" applyFont="1" applyFill="1" applyBorder="1" applyAlignment="1" applyProtection="1">
      <alignment/>
      <protection/>
    </xf>
    <xf numFmtId="0" fontId="19" fillId="5" borderId="20" xfId="0" applyFont="1" applyFill="1" applyBorder="1" applyAlignment="1" applyProtection="1">
      <alignment/>
      <protection/>
    </xf>
    <xf numFmtId="0" fontId="19" fillId="5" borderId="0" xfId="0" applyFont="1" applyFill="1" applyBorder="1" applyAlignment="1" applyProtection="1" quotePrefix="1">
      <alignment/>
      <protection/>
    </xf>
    <xf numFmtId="0" fontId="19" fillId="5" borderId="14" xfId="0" applyFont="1" applyFill="1" applyBorder="1" applyAlignment="1" applyProtection="1">
      <alignment/>
      <protection/>
    </xf>
    <xf numFmtId="0" fontId="21" fillId="5" borderId="0" xfId="0" applyFont="1" applyFill="1" applyBorder="1" applyAlignment="1" applyProtection="1">
      <alignment horizontal="center"/>
      <protection/>
    </xf>
    <xf numFmtId="0" fontId="19" fillId="5" borderId="23" xfId="0" applyFont="1" applyFill="1" applyBorder="1" applyAlignment="1" applyProtection="1">
      <alignment/>
      <protection/>
    </xf>
    <xf numFmtId="0" fontId="19" fillId="5" borderId="15" xfId="0" applyFont="1" applyFill="1" applyBorder="1" applyAlignment="1" applyProtection="1">
      <alignment/>
      <protection/>
    </xf>
    <xf numFmtId="0" fontId="19" fillId="5" borderId="24" xfId="0" applyFont="1" applyFill="1" applyBorder="1" applyAlignment="1" applyProtection="1">
      <alignment/>
      <protection/>
    </xf>
    <xf numFmtId="0" fontId="19" fillId="5" borderId="23" xfId="0" applyFont="1" applyFill="1" applyBorder="1" applyAlignment="1" applyProtection="1">
      <alignment horizontal="center"/>
      <protection/>
    </xf>
    <xf numFmtId="0" fontId="19" fillId="5" borderId="18" xfId="0" applyFont="1" applyFill="1" applyBorder="1" applyAlignment="1" applyProtection="1">
      <alignment horizontal="center"/>
      <protection/>
    </xf>
    <xf numFmtId="0" fontId="19" fillId="5" borderId="24" xfId="0" applyFont="1" applyFill="1" applyBorder="1" applyAlignment="1" applyProtection="1">
      <alignment horizontal="center"/>
      <protection/>
    </xf>
    <xf numFmtId="185" fontId="19" fillId="5" borderId="0" xfId="0" applyNumberFormat="1" applyFont="1" applyFill="1" applyBorder="1" applyAlignment="1" applyProtection="1">
      <alignment horizontal="center"/>
      <protection/>
    </xf>
    <xf numFmtId="185" fontId="19" fillId="5" borderId="0" xfId="0" applyNumberFormat="1" applyFont="1" applyFill="1" applyBorder="1" applyAlignment="1" applyProtection="1">
      <alignment/>
      <protection/>
    </xf>
    <xf numFmtId="0" fontId="19" fillId="5" borderId="25" xfId="0" applyFont="1" applyFill="1" applyBorder="1" applyAlignment="1" applyProtection="1">
      <alignment horizontal="left"/>
      <protection/>
    </xf>
    <xf numFmtId="0" fontId="19" fillId="5" borderId="16" xfId="0" applyFont="1" applyFill="1" applyBorder="1" applyAlignment="1" applyProtection="1">
      <alignment horizontal="center"/>
      <protection/>
    </xf>
    <xf numFmtId="0" fontId="19" fillId="5" borderId="15" xfId="0" applyFont="1" applyFill="1" applyBorder="1" applyAlignment="1" applyProtection="1">
      <alignment horizontal="center"/>
      <protection/>
    </xf>
    <xf numFmtId="0" fontId="19" fillId="5" borderId="28" xfId="0" applyFont="1" applyFill="1" applyBorder="1" applyAlignment="1" applyProtection="1">
      <alignment horizontal="left"/>
      <protection/>
    </xf>
    <xf numFmtId="0" fontId="19" fillId="5" borderId="25" xfId="0" applyFont="1" applyFill="1" applyBorder="1" applyAlignment="1" applyProtection="1">
      <alignment horizontal="center"/>
      <protection/>
    </xf>
    <xf numFmtId="2" fontId="19" fillId="5" borderId="26" xfId="0" applyNumberFormat="1" applyFont="1" applyFill="1" applyBorder="1" applyAlignment="1" applyProtection="1">
      <alignment horizontal="center"/>
      <protection/>
    </xf>
    <xf numFmtId="2" fontId="19" fillId="5" borderId="0" xfId="0" applyNumberFormat="1" applyFont="1" applyFill="1" applyBorder="1" applyAlignment="1" applyProtection="1">
      <alignment horizontal="center"/>
      <protection/>
    </xf>
    <xf numFmtId="2" fontId="19" fillId="5" borderId="17" xfId="0" applyNumberFormat="1" applyFont="1" applyFill="1" applyBorder="1" applyAlignment="1" applyProtection="1" quotePrefix="1">
      <alignment horizontal="center"/>
      <protection/>
    </xf>
    <xf numFmtId="2" fontId="19" fillId="5" borderId="17" xfId="0" applyNumberFormat="1" applyFont="1" applyFill="1" applyBorder="1" applyAlignment="1" applyProtection="1">
      <alignment horizontal="center"/>
      <protection/>
    </xf>
    <xf numFmtId="2" fontId="19" fillId="5" borderId="26" xfId="0" applyNumberFormat="1" applyFont="1" applyFill="1" applyBorder="1" applyAlignment="1" applyProtection="1" quotePrefix="1">
      <alignment horizontal="center"/>
      <protection/>
    </xf>
    <xf numFmtId="0" fontId="22" fillId="5" borderId="28" xfId="0" applyFont="1" applyFill="1" applyBorder="1" applyAlignment="1" applyProtection="1">
      <alignment horizontal="left"/>
      <protection/>
    </xf>
    <xf numFmtId="0" fontId="19" fillId="5" borderId="28" xfId="0" applyFont="1" applyFill="1" applyBorder="1" applyAlignment="1" applyProtection="1">
      <alignment horizontal="center"/>
      <protection/>
    </xf>
    <xf numFmtId="0" fontId="19" fillId="5" borderId="40" xfId="0" applyFont="1" applyFill="1" applyBorder="1" applyAlignment="1" applyProtection="1">
      <alignment horizontal="center"/>
      <protection/>
    </xf>
    <xf numFmtId="0" fontId="19" fillId="5" borderId="29" xfId="0" applyFont="1" applyFill="1" applyBorder="1" applyAlignment="1" applyProtection="1">
      <alignment horizontal="center"/>
      <protection/>
    </xf>
    <xf numFmtId="0" fontId="19" fillId="5" borderId="41" xfId="0" applyFont="1" applyFill="1" applyBorder="1" applyAlignment="1" applyProtection="1">
      <alignment horizontal="center"/>
      <protection/>
    </xf>
    <xf numFmtId="0" fontId="19" fillId="5" borderId="5" xfId="0" applyFont="1" applyFill="1" applyBorder="1" applyAlignment="1" applyProtection="1">
      <alignment horizontal="center"/>
      <protection/>
    </xf>
    <xf numFmtId="0" fontId="19" fillId="5" borderId="42" xfId="0" applyFont="1" applyFill="1" applyBorder="1" applyAlignment="1" applyProtection="1">
      <alignment horizontal="center"/>
      <protection/>
    </xf>
    <xf numFmtId="0" fontId="19" fillId="5" borderId="7" xfId="0" applyFont="1" applyFill="1" applyBorder="1" applyAlignment="1" applyProtection="1">
      <alignment horizontal="center"/>
      <protection/>
    </xf>
    <xf numFmtId="0" fontId="22" fillId="5" borderId="28" xfId="0" applyFont="1" applyFill="1" applyBorder="1" applyAlignment="1" applyProtection="1">
      <alignment/>
      <protection/>
    </xf>
    <xf numFmtId="0" fontId="19" fillId="5" borderId="28" xfId="0" applyFont="1" applyFill="1" applyBorder="1" applyAlignment="1" applyProtection="1">
      <alignment/>
      <protection/>
    </xf>
    <xf numFmtId="2" fontId="19" fillId="5" borderId="0" xfId="0" applyNumberFormat="1" applyFont="1" applyFill="1" applyBorder="1" applyAlignment="1" applyProtection="1">
      <alignment horizontal="left"/>
      <protection/>
    </xf>
    <xf numFmtId="0" fontId="19" fillId="5" borderId="40" xfId="0" applyFont="1" applyFill="1" applyBorder="1" applyAlignment="1" applyProtection="1">
      <alignment horizontal="left"/>
      <protection/>
    </xf>
    <xf numFmtId="0" fontId="19" fillId="5" borderId="29" xfId="0" applyFont="1" applyFill="1" applyBorder="1" applyAlignment="1" applyProtection="1">
      <alignment horizontal="left"/>
      <protection/>
    </xf>
    <xf numFmtId="0" fontId="20" fillId="5" borderId="0" xfId="0" applyFont="1" applyFill="1" applyBorder="1" applyAlignment="1" applyProtection="1">
      <alignment horizontal="left"/>
      <protection/>
    </xf>
    <xf numFmtId="2" fontId="19" fillId="5" borderId="18" xfId="0" applyNumberFormat="1" applyFont="1" applyFill="1" applyBorder="1" applyAlignment="1" applyProtection="1">
      <alignment horizontal="left"/>
      <protection/>
    </xf>
    <xf numFmtId="2" fontId="19" fillId="5" borderId="15" xfId="0" applyNumberFormat="1" applyFont="1" applyFill="1" applyBorder="1" applyAlignment="1" applyProtection="1">
      <alignment horizontal="left"/>
      <protection/>
    </xf>
    <xf numFmtId="2" fontId="19" fillId="5" borderId="18" xfId="0" applyNumberFormat="1" applyFont="1" applyFill="1" applyBorder="1" applyAlignment="1" applyProtection="1" quotePrefix="1">
      <alignment horizontal="left"/>
      <protection/>
    </xf>
    <xf numFmtId="0" fontId="19" fillId="5" borderId="8" xfId="0" applyFont="1" applyFill="1" applyBorder="1" applyAlignment="1" applyProtection="1">
      <alignment horizontal="center"/>
      <protection/>
    </xf>
    <xf numFmtId="2" fontId="19" fillId="5" borderId="19" xfId="0" applyNumberFormat="1" applyFont="1" applyFill="1" applyBorder="1" applyAlignment="1" applyProtection="1">
      <alignment horizontal="center"/>
      <protection/>
    </xf>
    <xf numFmtId="2" fontId="19" fillId="5" borderId="21" xfId="0" applyNumberFormat="1" applyFont="1" applyFill="1" applyBorder="1" applyAlignment="1" applyProtection="1">
      <alignment horizontal="center"/>
      <protection/>
    </xf>
    <xf numFmtId="2" fontId="19" fillId="5" borderId="20" xfId="0" applyNumberFormat="1" applyFont="1" applyFill="1" applyBorder="1" applyAlignment="1" applyProtection="1">
      <alignment horizontal="center"/>
      <protection/>
    </xf>
    <xf numFmtId="0" fontId="19" fillId="5" borderId="9" xfId="0" applyFont="1" applyFill="1" applyBorder="1" applyAlignment="1" applyProtection="1">
      <alignment horizontal="center"/>
      <protection/>
    </xf>
    <xf numFmtId="2" fontId="19" fillId="5" borderId="23" xfId="0" applyNumberFormat="1" applyFont="1" applyFill="1" applyBorder="1" applyAlignment="1" applyProtection="1">
      <alignment horizontal="center"/>
      <protection/>
    </xf>
    <xf numFmtId="2" fontId="19" fillId="5" borderId="24" xfId="0" applyNumberFormat="1" applyFont="1" applyFill="1" applyBorder="1" applyAlignment="1" applyProtection="1">
      <alignment horizontal="center"/>
      <protection/>
    </xf>
    <xf numFmtId="2" fontId="19" fillId="5" borderId="15" xfId="0" applyNumberFormat="1" applyFont="1" applyFill="1" applyBorder="1" applyAlignment="1" applyProtection="1">
      <alignment horizontal="center"/>
      <protection/>
    </xf>
    <xf numFmtId="0" fontId="19" fillId="5" borderId="0" xfId="0" applyFont="1" applyFill="1" applyBorder="1" applyAlignment="1" applyProtection="1" quotePrefix="1">
      <alignment horizontal="center"/>
      <protection/>
    </xf>
    <xf numFmtId="0" fontId="22" fillId="5" borderId="28" xfId="0" applyFont="1" applyFill="1" applyBorder="1" applyAlignment="1" applyProtection="1">
      <alignment horizontal="right"/>
      <protection/>
    </xf>
    <xf numFmtId="0" fontId="22" fillId="5" borderId="20" xfId="0" applyFont="1" applyFill="1" applyBorder="1" applyAlignment="1" applyProtection="1">
      <alignment horizontal="right"/>
      <protection/>
    </xf>
    <xf numFmtId="0" fontId="22" fillId="5" borderId="20" xfId="0" applyFont="1" applyFill="1" applyBorder="1" applyAlignment="1" applyProtection="1">
      <alignment horizontal="left"/>
      <protection/>
    </xf>
    <xf numFmtId="0" fontId="19" fillId="5" borderId="15" xfId="0" applyFont="1" applyFill="1" applyBorder="1" applyAlignment="1" applyProtection="1">
      <alignment horizontal="right"/>
      <protection/>
    </xf>
    <xf numFmtId="0" fontId="13" fillId="5" borderId="13" xfId="0" applyFont="1" applyFill="1" applyBorder="1" applyAlignment="1" applyProtection="1">
      <alignment horizontal="center"/>
      <protection/>
    </xf>
    <xf numFmtId="0" fontId="6" fillId="5" borderId="43" xfId="0" applyFont="1" applyFill="1" applyBorder="1" applyAlignment="1" applyProtection="1">
      <alignment horizontal="center"/>
      <protection/>
    </xf>
    <xf numFmtId="0" fontId="6" fillId="5" borderId="0" xfId="0" applyFont="1" applyFill="1" applyBorder="1" applyAlignment="1" applyProtection="1">
      <alignment horizontal="center"/>
      <protection/>
    </xf>
    <xf numFmtId="0" fontId="6" fillId="5" borderId="25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/>
      <protection/>
    </xf>
    <xf numFmtId="0" fontId="6" fillId="5" borderId="27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/>
      <protection/>
    </xf>
    <xf numFmtId="0" fontId="7" fillId="5" borderId="26" xfId="0" applyFont="1" applyFill="1" applyBorder="1" applyAlignment="1" applyProtection="1">
      <alignment horizontal="center"/>
      <protection/>
    </xf>
    <xf numFmtId="0" fontId="6" fillId="5" borderId="0" xfId="0" applyFont="1" applyFill="1" applyBorder="1" applyAlignment="1" applyProtection="1" quotePrefix="1">
      <alignment horizontal="left"/>
      <protection/>
    </xf>
    <xf numFmtId="0" fontId="7" fillId="5" borderId="27" xfId="0" applyFont="1" applyFill="1" applyBorder="1" applyAlignment="1" applyProtection="1">
      <alignment horizontal="center"/>
      <protection/>
    </xf>
    <xf numFmtId="0" fontId="7" fillId="5" borderId="24" xfId="0" applyFont="1" applyFill="1" applyBorder="1" applyAlignment="1" applyProtection="1">
      <alignment horizontal="center"/>
      <protection/>
    </xf>
    <xf numFmtId="180" fontId="6" fillId="5" borderId="26" xfId="0" applyNumberFormat="1" applyFont="1" applyFill="1" applyBorder="1" applyAlignment="1" applyProtection="1" quotePrefix="1">
      <alignment horizontal="center"/>
      <protection/>
    </xf>
    <xf numFmtId="180" fontId="6" fillId="5" borderId="21" xfId="0" applyNumberFormat="1" applyFont="1" applyFill="1" applyBorder="1" applyAlignment="1" applyProtection="1" quotePrefix="1">
      <alignment horizontal="center"/>
      <protection/>
    </xf>
    <xf numFmtId="0" fontId="6" fillId="5" borderId="0" xfId="0" applyFont="1" applyFill="1" applyBorder="1" applyAlignment="1" applyProtection="1">
      <alignment horizontal="left"/>
      <protection/>
    </xf>
    <xf numFmtId="180" fontId="6" fillId="5" borderId="17" xfId="0" applyNumberFormat="1" applyFont="1" applyFill="1" applyBorder="1" applyAlignment="1" applyProtection="1" quotePrefix="1">
      <alignment horizontal="center"/>
      <protection/>
    </xf>
    <xf numFmtId="180" fontId="6" fillId="5" borderId="14" xfId="0" applyNumberFormat="1" applyFont="1" applyFill="1" applyBorder="1" applyAlignment="1" applyProtection="1" quotePrefix="1">
      <alignment horizontal="center"/>
      <protection/>
    </xf>
    <xf numFmtId="0" fontId="6" fillId="5" borderId="13" xfId="0" applyFont="1" applyFill="1" applyBorder="1" applyAlignment="1" applyProtection="1">
      <alignment horizontal="center"/>
      <protection/>
    </xf>
    <xf numFmtId="180" fontId="6" fillId="5" borderId="17" xfId="0" applyNumberFormat="1" applyFont="1" applyFill="1" applyBorder="1" applyAlignment="1" applyProtection="1">
      <alignment horizontal="center"/>
      <protection/>
    </xf>
    <xf numFmtId="180" fontId="6" fillId="5" borderId="14" xfId="0" applyNumberFormat="1" applyFont="1" applyFill="1" applyBorder="1" applyAlignment="1" applyProtection="1">
      <alignment horizontal="center"/>
      <protection/>
    </xf>
    <xf numFmtId="0" fontId="6" fillId="5" borderId="17" xfId="0" applyFont="1" applyFill="1" applyBorder="1" applyAlignment="1" applyProtection="1">
      <alignment horizontal="center"/>
      <protection/>
    </xf>
    <xf numFmtId="0" fontId="6" fillId="5" borderId="14" xfId="0" applyFont="1" applyFill="1" applyBorder="1" applyAlignment="1" applyProtection="1">
      <alignment horizontal="center"/>
      <protection/>
    </xf>
    <xf numFmtId="0" fontId="6" fillId="5" borderId="23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/>
      <protection/>
    </xf>
    <xf numFmtId="0" fontId="6" fillId="5" borderId="17" xfId="0" applyFont="1" applyFill="1" applyBorder="1" applyAlignment="1" applyProtection="1">
      <alignment/>
      <protection/>
    </xf>
    <xf numFmtId="2" fontId="6" fillId="5" borderId="14" xfId="0" applyNumberFormat="1" applyFont="1" applyFill="1" applyBorder="1" applyAlignment="1" applyProtection="1">
      <alignment horizontal="center"/>
      <protection/>
    </xf>
    <xf numFmtId="205" fontId="6" fillId="5" borderId="0" xfId="0" applyNumberFormat="1" applyFont="1" applyFill="1" applyBorder="1" applyAlignment="1" applyProtection="1">
      <alignment/>
      <protection/>
    </xf>
    <xf numFmtId="0" fontId="6" fillId="5" borderId="19" xfId="0" applyFont="1" applyFill="1" applyBorder="1" applyAlignment="1" applyProtection="1">
      <alignment horizontal="center"/>
      <protection/>
    </xf>
    <xf numFmtId="0" fontId="6" fillId="5" borderId="21" xfId="0" applyFont="1" applyFill="1" applyBorder="1" applyAlignment="1" applyProtection="1">
      <alignment horizontal="center"/>
      <protection/>
    </xf>
    <xf numFmtId="0" fontId="6" fillId="5" borderId="18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/>
      <protection/>
    </xf>
    <xf numFmtId="0" fontId="6" fillId="5" borderId="28" xfId="0" applyFont="1" applyFill="1" applyBorder="1" applyAlignment="1" applyProtection="1">
      <alignment horizontal="center"/>
      <protection/>
    </xf>
    <xf numFmtId="0" fontId="6" fillId="5" borderId="29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6" fillId="5" borderId="5" xfId="0" applyFont="1" applyFill="1" applyBorder="1" applyAlignment="1" applyProtection="1">
      <alignment horizontal="center"/>
      <protection/>
    </xf>
    <xf numFmtId="0" fontId="6" fillId="5" borderId="7" xfId="0" applyFont="1" applyFill="1" applyBorder="1" applyAlignment="1" applyProtection="1">
      <alignment horizontal="center"/>
      <protection/>
    </xf>
    <xf numFmtId="0" fontId="6" fillId="5" borderId="25" xfId="0" applyFont="1" applyFill="1" applyBorder="1" applyAlignment="1" applyProtection="1">
      <alignment horizontal="left"/>
      <protection/>
    </xf>
    <xf numFmtId="0" fontId="6" fillId="5" borderId="26" xfId="0" applyFont="1" applyFill="1" applyBorder="1" applyAlignment="1" applyProtection="1">
      <alignment horizontal="center"/>
      <protection/>
    </xf>
    <xf numFmtId="0" fontId="6" fillId="5" borderId="0" xfId="0" applyNumberFormat="1" applyFont="1" applyFill="1" applyBorder="1" applyAlignment="1" applyProtection="1">
      <alignment horizontal="center"/>
      <protection/>
    </xf>
    <xf numFmtId="0" fontId="6" fillId="5" borderId="24" xfId="0" applyFont="1" applyFill="1" applyBorder="1" applyAlignment="1" applyProtection="1">
      <alignment horizontal="center"/>
      <protection/>
    </xf>
    <xf numFmtId="0" fontId="13" fillId="3" borderId="13" xfId="0" applyFont="1" applyFill="1" applyBorder="1" applyAlignment="1" applyProtection="1">
      <alignment horizontal="center"/>
      <protection/>
    </xf>
    <xf numFmtId="2" fontId="7" fillId="6" borderId="27" xfId="0" applyNumberFormat="1" applyFont="1" applyFill="1" applyBorder="1" applyAlignment="1" applyProtection="1">
      <alignment horizontal="center"/>
      <protection/>
    </xf>
    <xf numFmtId="185" fontId="7" fillId="6" borderId="27" xfId="0" applyNumberFormat="1" applyFont="1" applyFill="1" applyBorder="1" applyAlignment="1" applyProtection="1">
      <alignment horizontal="center"/>
      <protection/>
    </xf>
    <xf numFmtId="0" fontId="6" fillId="6" borderId="19" xfId="0" applyFont="1" applyFill="1" applyBorder="1" applyAlignment="1" applyProtection="1">
      <alignment horizontal="right"/>
      <protection/>
    </xf>
    <xf numFmtId="0" fontId="7" fillId="6" borderId="20" xfId="0" applyFont="1" applyFill="1" applyBorder="1" applyAlignment="1" applyProtection="1">
      <alignment horizontal="center"/>
      <protection/>
    </xf>
    <xf numFmtId="0" fontId="6" fillId="6" borderId="21" xfId="0" applyFont="1" applyFill="1" applyBorder="1" applyAlignment="1" applyProtection="1">
      <alignment horizontal="left"/>
      <protection/>
    </xf>
    <xf numFmtId="9" fontId="6" fillId="6" borderId="23" xfId="21" applyFont="1" applyFill="1" applyBorder="1" applyAlignment="1" applyProtection="1">
      <alignment horizontal="right"/>
      <protection/>
    </xf>
    <xf numFmtId="9" fontId="7" fillId="6" borderId="15" xfId="21" applyFont="1" applyFill="1" applyBorder="1" applyAlignment="1" applyProtection="1">
      <alignment horizontal="center"/>
      <protection/>
    </xf>
    <xf numFmtId="9" fontId="6" fillId="6" borderId="24" xfId="21" applyFont="1" applyFill="1" applyBorder="1" applyAlignment="1" applyProtection="1">
      <alignment horizontal="left"/>
      <protection/>
    </xf>
    <xf numFmtId="0" fontId="6" fillId="6" borderId="19" xfId="0" applyFont="1" applyFill="1" applyBorder="1" applyAlignment="1" applyProtection="1">
      <alignment/>
      <protection/>
    </xf>
    <xf numFmtId="0" fontId="11" fillId="6" borderId="20" xfId="0" applyFont="1" applyFill="1" applyBorder="1" applyAlignment="1" applyProtection="1">
      <alignment horizontal="center"/>
      <protection/>
    </xf>
    <xf numFmtId="183" fontId="6" fillId="6" borderId="20" xfId="0" applyNumberFormat="1" applyFont="1" applyFill="1" applyBorder="1" applyAlignment="1" applyProtection="1">
      <alignment horizontal="center"/>
      <protection/>
    </xf>
    <xf numFmtId="0" fontId="6" fillId="6" borderId="21" xfId="0" applyFont="1" applyFill="1" applyBorder="1" applyAlignment="1" applyProtection="1">
      <alignment/>
      <protection/>
    </xf>
    <xf numFmtId="0" fontId="6" fillId="6" borderId="13" xfId="0" applyFont="1" applyFill="1" applyBorder="1" applyAlignment="1" applyProtection="1">
      <alignment/>
      <protection/>
    </xf>
    <xf numFmtId="0" fontId="6" fillId="6" borderId="0" xfId="0" applyFont="1" applyFill="1" applyBorder="1" applyAlignment="1" applyProtection="1">
      <alignment horizontal="right"/>
      <protection/>
    </xf>
    <xf numFmtId="184" fontId="6" fillId="6" borderId="0" xfId="0" applyNumberFormat="1" applyFont="1" applyFill="1" applyBorder="1" applyAlignment="1" applyProtection="1">
      <alignment horizontal="center"/>
      <protection/>
    </xf>
    <xf numFmtId="0" fontId="6" fillId="6" borderId="14" xfId="0" applyFont="1" applyFill="1" applyBorder="1" applyAlignment="1" applyProtection="1">
      <alignment/>
      <protection/>
    </xf>
    <xf numFmtId="0" fontId="6" fillId="6" borderId="13" xfId="0" applyFont="1" applyFill="1" applyBorder="1" applyAlignment="1" applyProtection="1">
      <alignment horizontal="left"/>
      <protection/>
    </xf>
    <xf numFmtId="0" fontId="6" fillId="6" borderId="0" xfId="0" applyFont="1" applyFill="1" applyBorder="1" applyAlignment="1" applyProtection="1">
      <alignment/>
      <protection/>
    </xf>
    <xf numFmtId="0" fontId="6" fillId="6" borderId="23" xfId="0" applyFont="1" applyFill="1" applyBorder="1" applyAlignment="1" applyProtection="1">
      <alignment horizontal="left"/>
      <protection/>
    </xf>
    <xf numFmtId="0" fontId="6" fillId="6" borderId="15" xfId="0" applyFont="1" applyFill="1" applyBorder="1" applyAlignment="1" applyProtection="1">
      <alignment/>
      <protection/>
    </xf>
    <xf numFmtId="0" fontId="6" fillId="6" borderId="24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6" fillId="5" borderId="2" xfId="0" applyFont="1" applyFill="1" applyBorder="1" applyAlignment="1" applyProtection="1">
      <alignment horizontal="center"/>
      <protection/>
    </xf>
    <xf numFmtId="0" fontId="19" fillId="5" borderId="1" xfId="0" applyFont="1" applyFill="1" applyBorder="1" applyAlignment="1" applyProtection="1">
      <alignment horizontal="center"/>
      <protection/>
    </xf>
    <xf numFmtId="0" fontId="19" fillId="5" borderId="2" xfId="0" applyFont="1" applyFill="1" applyBorder="1" applyAlignment="1" applyProtection="1">
      <alignment horizontal="center"/>
      <protection/>
    </xf>
    <xf numFmtId="0" fontId="19" fillId="5" borderId="3" xfId="0" applyFont="1" applyFill="1" applyBorder="1" applyAlignment="1" applyProtection="1">
      <alignment horizontal="center"/>
      <protection/>
    </xf>
    <xf numFmtId="0" fontId="19" fillId="5" borderId="4" xfId="0" applyFont="1" applyFill="1" applyBorder="1" applyAlignment="1" applyProtection="1">
      <alignment horizontal="center"/>
      <protection/>
    </xf>
    <xf numFmtId="0" fontId="6" fillId="5" borderId="4" xfId="0" applyFont="1" applyFill="1" applyBorder="1" applyAlignment="1" applyProtection="1">
      <alignment horizontal="center"/>
      <protection/>
    </xf>
    <xf numFmtId="0" fontId="6" fillId="5" borderId="8" xfId="0" applyFont="1" applyFill="1" applyBorder="1" applyAlignment="1" applyProtection="1">
      <alignment horizont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6" fillId="5" borderId="6" xfId="0" applyFont="1" applyFill="1" applyBorder="1" applyAlignment="1" applyProtection="1">
      <alignment horizontal="center"/>
      <protection/>
    </xf>
    <xf numFmtId="0" fontId="6" fillId="5" borderId="9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" fontId="6" fillId="0" borderId="19" xfId="0" applyNumberFormat="1" applyFont="1" applyBorder="1" applyAlignment="1" applyProtection="1">
      <alignment horizontal="center"/>
      <protection/>
    </xf>
    <xf numFmtId="1" fontId="6" fillId="0" borderId="20" xfId="0" applyNumberFormat="1" applyFont="1" applyBorder="1" applyAlignment="1" applyProtection="1">
      <alignment horizontal="center"/>
      <protection/>
    </xf>
    <xf numFmtId="1" fontId="6" fillId="0" borderId="2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180" fontId="6" fillId="0" borderId="14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 quotePrefix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180" fontId="6" fillId="0" borderId="24" xfId="0" applyNumberFormat="1" applyFont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center"/>
      <protection/>
    </xf>
    <xf numFmtId="0" fontId="26" fillId="0" borderId="27" xfId="0" applyNumberFormat="1" applyFont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26" fillId="4" borderId="0" xfId="0" applyFont="1" applyFill="1" applyBorder="1" applyAlignment="1" applyProtection="1">
      <alignment/>
      <protection/>
    </xf>
    <xf numFmtId="0" fontId="9" fillId="5" borderId="21" xfId="0" applyFont="1" applyFill="1" applyBorder="1" applyAlignment="1" applyProtection="1" quotePrefix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6" fillId="5" borderId="20" xfId="0" applyFont="1" applyFill="1" applyBorder="1" applyAlignment="1" applyProtection="1">
      <alignment horizontal="center"/>
      <protection/>
    </xf>
    <xf numFmtId="0" fontId="6" fillId="5" borderId="15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 quotePrefix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2" fontId="12" fillId="0" borderId="19" xfId="0" applyNumberFormat="1" applyFont="1" applyBorder="1" applyAlignment="1" applyProtection="1">
      <alignment horizontal="left"/>
      <protection/>
    </xf>
    <xf numFmtId="2" fontId="12" fillId="5" borderId="20" xfId="0" applyNumberFormat="1" applyFont="1" applyFill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12" fillId="5" borderId="15" xfId="0" applyFont="1" applyFill="1" applyBorder="1" applyAlignment="1" applyProtection="1">
      <alignment horizontal="center"/>
      <protection/>
    </xf>
    <xf numFmtId="0" fontId="9" fillId="5" borderId="21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180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6" fillId="5" borderId="0" xfId="0" applyFont="1" applyFill="1" applyBorder="1" applyAlignment="1" applyProtection="1" quotePrefix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2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13" fillId="5" borderId="0" xfId="0" applyFont="1" applyFill="1" applyBorder="1" applyAlignment="1" applyProtection="1">
      <alignment horizontal="center"/>
      <protection/>
    </xf>
    <xf numFmtId="2" fontId="12" fillId="0" borderId="36" xfId="0" applyNumberFormat="1" applyFont="1" applyBorder="1" applyAlignment="1" applyProtection="1">
      <alignment horizontal="center"/>
      <protection/>
    </xf>
    <xf numFmtId="0" fontId="9" fillId="5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horizontal="left"/>
      <protection/>
    </xf>
    <xf numFmtId="0" fontId="6" fillId="0" borderId="44" xfId="0" applyFont="1" applyBorder="1" applyAlignment="1">
      <alignment horizontal="center"/>
    </xf>
    <xf numFmtId="0" fontId="34" fillId="0" borderId="0" xfId="0" applyFont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Béton, aciers, point d'application de la charge 
et axe neutre par rapport au centre de gravité</a:t>
            </a:r>
          </a:p>
        </c:rich>
      </c:tx>
      <c:layout>
        <c:manualLayout>
          <c:xMode val="factor"/>
          <c:yMode val="factor"/>
          <c:x val="-0.00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45"/>
          <c:w val="0.92875"/>
          <c:h val="0.87475"/>
        </c:manualLayout>
      </c:layout>
      <c:scatterChart>
        <c:scatterStyle val="line"/>
        <c:varyColors val="0"/>
        <c:ser>
          <c:idx val="0"/>
          <c:order val="0"/>
          <c:tx>
            <c:strRef>
              <c:f>Calculs!$AA$91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Calculs!$Z$92:$Z$331</c:f>
              <c:numCache>
                <c:ptCount val="240"/>
                <c:pt idx="0">
                  <c:v>-0.5</c:v>
                </c:pt>
                <c:pt idx="1">
                  <c:v>-0.5</c:v>
                </c:pt>
                <c:pt idx="2">
                  <c:v>0.5</c:v>
                </c:pt>
                <c:pt idx="3">
                  <c:v>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  <c:pt idx="21">
                  <c:v>-0.5</c:v>
                </c:pt>
                <c:pt idx="22">
                  <c:v>-0.5</c:v>
                </c:pt>
                <c:pt idx="23">
                  <c:v>-0.5</c:v>
                </c:pt>
                <c:pt idx="24">
                  <c:v>-0.5</c:v>
                </c:pt>
                <c:pt idx="25">
                  <c:v>-0.5</c:v>
                </c:pt>
                <c:pt idx="26">
                  <c:v>-0.5</c:v>
                </c:pt>
                <c:pt idx="27">
                  <c:v>-0.5</c:v>
                </c:pt>
                <c:pt idx="28">
                  <c:v>-0.5</c:v>
                </c:pt>
                <c:pt idx="29">
                  <c:v>-0.5</c:v>
                </c:pt>
                <c:pt idx="30">
                  <c:v>-0.5</c:v>
                </c:pt>
                <c:pt idx="31">
                  <c:v>-0.5</c:v>
                </c:pt>
                <c:pt idx="33">
                  <c:v>-0.39</c:v>
                </c:pt>
                <c:pt idx="34">
                  <c:v>-0.39</c:v>
                </c:pt>
                <c:pt idx="35">
                  <c:v>-0.41000000000000003</c:v>
                </c:pt>
                <c:pt idx="36">
                  <c:v>-0.41000000000000003</c:v>
                </c:pt>
                <c:pt idx="37">
                  <c:v>-0.39</c:v>
                </c:pt>
                <c:pt idx="39">
                  <c:v>-0.13</c:v>
                </c:pt>
                <c:pt idx="40">
                  <c:v>-0.13</c:v>
                </c:pt>
                <c:pt idx="41">
                  <c:v>-0.15000000000000002</c:v>
                </c:pt>
                <c:pt idx="42">
                  <c:v>-0.15000000000000002</c:v>
                </c:pt>
                <c:pt idx="43">
                  <c:v>-0.13</c:v>
                </c:pt>
                <c:pt idx="45">
                  <c:v>0.15000000000000002</c:v>
                </c:pt>
                <c:pt idx="46">
                  <c:v>0.15000000000000002</c:v>
                </c:pt>
                <c:pt idx="47">
                  <c:v>0.13</c:v>
                </c:pt>
                <c:pt idx="48">
                  <c:v>0.13</c:v>
                </c:pt>
                <c:pt idx="49">
                  <c:v>0.15000000000000002</c:v>
                </c:pt>
                <c:pt idx="51">
                  <c:v>0.41000000000000003</c:v>
                </c:pt>
                <c:pt idx="52">
                  <c:v>0.41000000000000003</c:v>
                </c:pt>
                <c:pt idx="53">
                  <c:v>0.39</c:v>
                </c:pt>
                <c:pt idx="54">
                  <c:v>0.39</c:v>
                </c:pt>
                <c:pt idx="55">
                  <c:v>0.41000000000000003</c:v>
                </c:pt>
                <c:pt idx="57">
                  <c:v>-0.39</c:v>
                </c:pt>
                <c:pt idx="58">
                  <c:v>-0.39</c:v>
                </c:pt>
                <c:pt idx="59">
                  <c:v>-0.41000000000000003</c:v>
                </c:pt>
                <c:pt idx="60">
                  <c:v>-0.41000000000000003</c:v>
                </c:pt>
                <c:pt idx="61">
                  <c:v>-0.39</c:v>
                </c:pt>
                <c:pt idx="63">
                  <c:v>-0.13</c:v>
                </c:pt>
                <c:pt idx="64">
                  <c:v>-0.13</c:v>
                </c:pt>
                <c:pt idx="65">
                  <c:v>-0.15000000000000002</c:v>
                </c:pt>
                <c:pt idx="66">
                  <c:v>-0.15000000000000002</c:v>
                </c:pt>
                <c:pt idx="67">
                  <c:v>-0.13</c:v>
                </c:pt>
                <c:pt idx="69">
                  <c:v>0.15000000000000002</c:v>
                </c:pt>
                <c:pt idx="70">
                  <c:v>0.15000000000000002</c:v>
                </c:pt>
                <c:pt idx="71">
                  <c:v>0.13</c:v>
                </c:pt>
                <c:pt idx="72">
                  <c:v>0.13</c:v>
                </c:pt>
                <c:pt idx="73">
                  <c:v>0.15000000000000002</c:v>
                </c:pt>
                <c:pt idx="75">
                  <c:v>0.41000000000000003</c:v>
                </c:pt>
                <c:pt idx="76">
                  <c:v>0.41000000000000003</c:v>
                </c:pt>
                <c:pt idx="77">
                  <c:v>0.39</c:v>
                </c:pt>
                <c:pt idx="78">
                  <c:v>0.39</c:v>
                </c:pt>
                <c:pt idx="79">
                  <c:v>0.41000000000000003</c:v>
                </c:pt>
                <c:pt idx="81">
                  <c:v>-0.39</c:v>
                </c:pt>
                <c:pt idx="82">
                  <c:v>-0.39</c:v>
                </c:pt>
                <c:pt idx="83">
                  <c:v>-0.41000000000000003</c:v>
                </c:pt>
                <c:pt idx="84">
                  <c:v>-0.41000000000000003</c:v>
                </c:pt>
                <c:pt idx="85">
                  <c:v>-0.39</c:v>
                </c:pt>
                <c:pt idx="87">
                  <c:v>0.41000000000000003</c:v>
                </c:pt>
                <c:pt idx="88">
                  <c:v>0.41000000000000003</c:v>
                </c:pt>
                <c:pt idx="89">
                  <c:v>0.39</c:v>
                </c:pt>
                <c:pt idx="90">
                  <c:v>0.39</c:v>
                </c:pt>
                <c:pt idx="91">
                  <c:v>0.41000000000000003</c:v>
                </c:pt>
                <c:pt idx="93">
                  <c:v>-0.39</c:v>
                </c:pt>
                <c:pt idx="94">
                  <c:v>-0.39</c:v>
                </c:pt>
                <c:pt idx="95">
                  <c:v>-0.41000000000000003</c:v>
                </c:pt>
                <c:pt idx="96">
                  <c:v>-0.41000000000000003</c:v>
                </c:pt>
                <c:pt idx="97">
                  <c:v>-0.39</c:v>
                </c:pt>
                <c:pt idx="99">
                  <c:v>0.41000000000000003</c:v>
                </c:pt>
                <c:pt idx="100">
                  <c:v>0.41000000000000003</c:v>
                </c:pt>
                <c:pt idx="101">
                  <c:v>0.39</c:v>
                </c:pt>
                <c:pt idx="102">
                  <c:v>0.39</c:v>
                </c:pt>
                <c:pt idx="103">
                  <c:v>0.41000000000000003</c:v>
                </c:pt>
                <c:pt idx="105">
                  <c:v>-0.39</c:v>
                </c:pt>
                <c:pt idx="106">
                  <c:v>-0.39</c:v>
                </c:pt>
                <c:pt idx="107">
                  <c:v>-0.41000000000000003</c:v>
                </c:pt>
                <c:pt idx="108">
                  <c:v>-0.41000000000000003</c:v>
                </c:pt>
                <c:pt idx="109">
                  <c:v>-0.39</c:v>
                </c:pt>
                <c:pt idx="111">
                  <c:v>0.41000000000000003</c:v>
                </c:pt>
                <c:pt idx="112">
                  <c:v>0.41000000000000003</c:v>
                </c:pt>
                <c:pt idx="113">
                  <c:v>0.39</c:v>
                </c:pt>
                <c:pt idx="114">
                  <c:v>0.39</c:v>
                </c:pt>
                <c:pt idx="115">
                  <c:v>0.41000000000000003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6">
                  <c:v>2.2699999999999996</c:v>
                </c:pt>
                <c:pt idx="227">
                  <c:v>2.25</c:v>
                </c:pt>
                <c:pt idx="229">
                  <c:v>2.25</c:v>
                </c:pt>
                <c:pt idx="230">
                  <c:v>2.2699999999999996</c:v>
                </c:pt>
                <c:pt idx="232">
                  <c:v>0.1371375</c:v>
                </c:pt>
                <c:pt idx="233">
                  <c:v>0.37332289</c:v>
                </c:pt>
                <c:pt idx="235">
                  <c:v>0</c:v>
                </c:pt>
                <c:pt idx="236">
                  <c:v>0</c:v>
                </c:pt>
                <c:pt idx="238">
                  <c:v>0.02</c:v>
                </c:pt>
                <c:pt idx="239">
                  <c:v>-0.02</c:v>
                </c:pt>
              </c:numCache>
            </c:numRef>
          </c:xVal>
          <c:yVal>
            <c:numRef>
              <c:f>Calculs!$AA$92:$AA$331</c:f>
              <c:numCache>
                <c:ptCount val="240"/>
                <c:pt idx="0">
                  <c:v>-0.6</c:v>
                </c:pt>
                <c:pt idx="1">
                  <c:v>0.6</c:v>
                </c:pt>
                <c:pt idx="2">
                  <c:v>0.6</c:v>
                </c:pt>
                <c:pt idx="3">
                  <c:v>-0.6</c:v>
                </c:pt>
                <c:pt idx="4">
                  <c:v>-0.6</c:v>
                </c:pt>
                <c:pt idx="5">
                  <c:v>-0.6</c:v>
                </c:pt>
                <c:pt idx="6">
                  <c:v>-0.6</c:v>
                </c:pt>
                <c:pt idx="7">
                  <c:v>-0.6</c:v>
                </c:pt>
                <c:pt idx="8">
                  <c:v>-0.6</c:v>
                </c:pt>
                <c:pt idx="9">
                  <c:v>-0.6</c:v>
                </c:pt>
                <c:pt idx="10">
                  <c:v>-0.6</c:v>
                </c:pt>
                <c:pt idx="11">
                  <c:v>-0.6</c:v>
                </c:pt>
                <c:pt idx="12">
                  <c:v>-0.6</c:v>
                </c:pt>
                <c:pt idx="13">
                  <c:v>-0.6</c:v>
                </c:pt>
                <c:pt idx="14">
                  <c:v>-0.6</c:v>
                </c:pt>
                <c:pt idx="15">
                  <c:v>-0.6</c:v>
                </c:pt>
                <c:pt idx="16">
                  <c:v>-0.6</c:v>
                </c:pt>
                <c:pt idx="17">
                  <c:v>-0.6</c:v>
                </c:pt>
                <c:pt idx="18">
                  <c:v>-0.6</c:v>
                </c:pt>
                <c:pt idx="19">
                  <c:v>-0.6</c:v>
                </c:pt>
                <c:pt idx="20">
                  <c:v>-0.6</c:v>
                </c:pt>
                <c:pt idx="21">
                  <c:v>-0.6</c:v>
                </c:pt>
                <c:pt idx="22">
                  <c:v>-0.6</c:v>
                </c:pt>
                <c:pt idx="23">
                  <c:v>-0.6</c:v>
                </c:pt>
                <c:pt idx="24">
                  <c:v>-0.6</c:v>
                </c:pt>
                <c:pt idx="25">
                  <c:v>-0.6</c:v>
                </c:pt>
                <c:pt idx="26">
                  <c:v>-0.6</c:v>
                </c:pt>
                <c:pt idx="27">
                  <c:v>-0.6</c:v>
                </c:pt>
                <c:pt idx="28">
                  <c:v>-0.6</c:v>
                </c:pt>
                <c:pt idx="29">
                  <c:v>-0.6</c:v>
                </c:pt>
                <c:pt idx="30">
                  <c:v>-0.6</c:v>
                </c:pt>
                <c:pt idx="31">
                  <c:v>-0.6</c:v>
                </c:pt>
                <c:pt idx="33">
                  <c:v>-0.49</c:v>
                </c:pt>
                <c:pt idx="34">
                  <c:v>-0.51</c:v>
                </c:pt>
                <c:pt idx="35">
                  <c:v>-0.51</c:v>
                </c:pt>
                <c:pt idx="36">
                  <c:v>-0.49</c:v>
                </c:pt>
                <c:pt idx="37">
                  <c:v>-0.49</c:v>
                </c:pt>
                <c:pt idx="39">
                  <c:v>-0.49</c:v>
                </c:pt>
                <c:pt idx="40">
                  <c:v>-0.51</c:v>
                </c:pt>
                <c:pt idx="41">
                  <c:v>-0.51</c:v>
                </c:pt>
                <c:pt idx="42">
                  <c:v>-0.49</c:v>
                </c:pt>
                <c:pt idx="43">
                  <c:v>-0.49</c:v>
                </c:pt>
                <c:pt idx="45">
                  <c:v>-0.49</c:v>
                </c:pt>
                <c:pt idx="46">
                  <c:v>-0.51</c:v>
                </c:pt>
                <c:pt idx="47">
                  <c:v>-0.51</c:v>
                </c:pt>
                <c:pt idx="48">
                  <c:v>-0.49</c:v>
                </c:pt>
                <c:pt idx="49">
                  <c:v>-0.49</c:v>
                </c:pt>
                <c:pt idx="51">
                  <c:v>-0.49</c:v>
                </c:pt>
                <c:pt idx="52">
                  <c:v>-0.51</c:v>
                </c:pt>
                <c:pt idx="53">
                  <c:v>-0.51</c:v>
                </c:pt>
                <c:pt idx="54">
                  <c:v>-0.49</c:v>
                </c:pt>
                <c:pt idx="55">
                  <c:v>-0.49</c:v>
                </c:pt>
                <c:pt idx="57">
                  <c:v>0.5100000000000001</c:v>
                </c:pt>
                <c:pt idx="58">
                  <c:v>0.4900000000000001</c:v>
                </c:pt>
                <c:pt idx="59">
                  <c:v>0.4900000000000001</c:v>
                </c:pt>
                <c:pt idx="60">
                  <c:v>0.5100000000000001</c:v>
                </c:pt>
                <c:pt idx="61">
                  <c:v>0.5100000000000001</c:v>
                </c:pt>
                <c:pt idx="63">
                  <c:v>0.5100000000000001</c:v>
                </c:pt>
                <c:pt idx="64">
                  <c:v>0.4900000000000001</c:v>
                </c:pt>
                <c:pt idx="65">
                  <c:v>0.4900000000000001</c:v>
                </c:pt>
                <c:pt idx="66">
                  <c:v>0.5100000000000001</c:v>
                </c:pt>
                <c:pt idx="67">
                  <c:v>0.5100000000000001</c:v>
                </c:pt>
                <c:pt idx="69">
                  <c:v>0.5100000000000001</c:v>
                </c:pt>
                <c:pt idx="70">
                  <c:v>0.4900000000000001</c:v>
                </c:pt>
                <c:pt idx="71">
                  <c:v>0.4900000000000001</c:v>
                </c:pt>
                <c:pt idx="72">
                  <c:v>0.5100000000000001</c:v>
                </c:pt>
                <c:pt idx="73">
                  <c:v>0.5100000000000001</c:v>
                </c:pt>
                <c:pt idx="75">
                  <c:v>0.5100000000000001</c:v>
                </c:pt>
                <c:pt idx="76">
                  <c:v>0.4900000000000001</c:v>
                </c:pt>
                <c:pt idx="77">
                  <c:v>0.4900000000000001</c:v>
                </c:pt>
                <c:pt idx="78">
                  <c:v>0.5100000000000001</c:v>
                </c:pt>
                <c:pt idx="79">
                  <c:v>0.5100000000000001</c:v>
                </c:pt>
                <c:pt idx="81">
                  <c:v>-0.24</c:v>
                </c:pt>
                <c:pt idx="82">
                  <c:v>-0.26</c:v>
                </c:pt>
                <c:pt idx="83">
                  <c:v>-0.26</c:v>
                </c:pt>
                <c:pt idx="84">
                  <c:v>-0.24</c:v>
                </c:pt>
                <c:pt idx="85">
                  <c:v>-0.24</c:v>
                </c:pt>
                <c:pt idx="87">
                  <c:v>-0.22999999999999998</c:v>
                </c:pt>
                <c:pt idx="88">
                  <c:v>-0.25</c:v>
                </c:pt>
                <c:pt idx="89">
                  <c:v>-0.25</c:v>
                </c:pt>
                <c:pt idx="90">
                  <c:v>-0.22999999999999998</c:v>
                </c:pt>
                <c:pt idx="91">
                  <c:v>-0.22999999999999998</c:v>
                </c:pt>
                <c:pt idx="93">
                  <c:v>0.01</c:v>
                </c:pt>
                <c:pt idx="94">
                  <c:v>-0.01</c:v>
                </c:pt>
                <c:pt idx="95">
                  <c:v>-0.01</c:v>
                </c:pt>
                <c:pt idx="96">
                  <c:v>0.01</c:v>
                </c:pt>
                <c:pt idx="97">
                  <c:v>0.01</c:v>
                </c:pt>
                <c:pt idx="99">
                  <c:v>0.01</c:v>
                </c:pt>
                <c:pt idx="100">
                  <c:v>-0.01</c:v>
                </c:pt>
                <c:pt idx="101">
                  <c:v>-0.01</c:v>
                </c:pt>
                <c:pt idx="102">
                  <c:v>0.01</c:v>
                </c:pt>
                <c:pt idx="103">
                  <c:v>0.01</c:v>
                </c:pt>
                <c:pt idx="105">
                  <c:v>0.26</c:v>
                </c:pt>
                <c:pt idx="106">
                  <c:v>0.24</c:v>
                </c:pt>
                <c:pt idx="107">
                  <c:v>0.24</c:v>
                </c:pt>
                <c:pt idx="108">
                  <c:v>0.26</c:v>
                </c:pt>
                <c:pt idx="109">
                  <c:v>0.26</c:v>
                </c:pt>
                <c:pt idx="111">
                  <c:v>0.26</c:v>
                </c:pt>
                <c:pt idx="112">
                  <c:v>0.24</c:v>
                </c:pt>
                <c:pt idx="113">
                  <c:v>0.24</c:v>
                </c:pt>
                <c:pt idx="114">
                  <c:v>0.26</c:v>
                </c:pt>
                <c:pt idx="115">
                  <c:v>0.26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6">
                  <c:v>0.83</c:v>
                </c:pt>
                <c:pt idx="227">
                  <c:v>0.8099999999999999</c:v>
                </c:pt>
                <c:pt idx="229">
                  <c:v>0.83</c:v>
                </c:pt>
                <c:pt idx="230">
                  <c:v>0.8099999999999999</c:v>
                </c:pt>
                <c:pt idx="232">
                  <c:v>0.6</c:v>
                </c:pt>
                <c:pt idx="233">
                  <c:v>-0.6</c:v>
                </c:pt>
                <c:pt idx="235">
                  <c:v>0.02</c:v>
                </c:pt>
                <c:pt idx="236">
                  <c:v>-0.02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</c:ser>
        <c:axId val="61779951"/>
        <c:axId val="19148648"/>
      </c:scatterChart>
      <c:valAx>
        <c:axId val="617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48648"/>
        <c:crosses val="max"/>
        <c:crossBetween val="midCat"/>
        <c:dispUnits/>
      </c:valAx>
      <c:valAx>
        <c:axId val="1914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7995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Béton, aciers, point d'application de la charge 
et axe neutre en coordonnées de base</a:t>
            </a:r>
          </a:p>
        </c:rich>
      </c:tx>
      <c:layout>
        <c:manualLayout>
          <c:xMode val="factor"/>
          <c:yMode val="factor"/>
          <c:x val="-0.27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57"/>
          <c:w val="0.98325"/>
          <c:h val="0.925"/>
        </c:manualLayout>
      </c:layout>
      <c:scatterChart>
        <c:scatterStyle val="line"/>
        <c:varyColors val="0"/>
        <c:ser>
          <c:idx val="0"/>
          <c:order val="0"/>
          <c:tx>
            <c:strRef>
              <c:f>Calculs!$V$91</c:f>
              <c:strCache>
                <c:ptCount val="1"/>
                <c:pt idx="0">
                  <c:v>axe neutre, section béton &amp; aciers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Calculs!$U$92:$U$337</c:f>
              <c:numCache>
                <c:ptCount val="24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0.11</c:v>
                </c:pt>
                <c:pt idx="34">
                  <c:v>0.11</c:v>
                </c:pt>
                <c:pt idx="35">
                  <c:v>0.09000000000000001</c:v>
                </c:pt>
                <c:pt idx="36">
                  <c:v>0.09000000000000001</c:v>
                </c:pt>
                <c:pt idx="37">
                  <c:v>0.11</c:v>
                </c:pt>
                <c:pt idx="39">
                  <c:v>0.37</c:v>
                </c:pt>
                <c:pt idx="40">
                  <c:v>0.37</c:v>
                </c:pt>
                <c:pt idx="41">
                  <c:v>0.35</c:v>
                </c:pt>
                <c:pt idx="42">
                  <c:v>0.35</c:v>
                </c:pt>
                <c:pt idx="43">
                  <c:v>0.37</c:v>
                </c:pt>
                <c:pt idx="45">
                  <c:v>0.65</c:v>
                </c:pt>
                <c:pt idx="46">
                  <c:v>0.65</c:v>
                </c:pt>
                <c:pt idx="47">
                  <c:v>0.63</c:v>
                </c:pt>
                <c:pt idx="48">
                  <c:v>0.63</c:v>
                </c:pt>
                <c:pt idx="49">
                  <c:v>0.65</c:v>
                </c:pt>
                <c:pt idx="51">
                  <c:v>0.91</c:v>
                </c:pt>
                <c:pt idx="52">
                  <c:v>0.91</c:v>
                </c:pt>
                <c:pt idx="53">
                  <c:v>0.89</c:v>
                </c:pt>
                <c:pt idx="54">
                  <c:v>0.89</c:v>
                </c:pt>
                <c:pt idx="55">
                  <c:v>0.91</c:v>
                </c:pt>
                <c:pt idx="57">
                  <c:v>0.11</c:v>
                </c:pt>
                <c:pt idx="58">
                  <c:v>0.11</c:v>
                </c:pt>
                <c:pt idx="59">
                  <c:v>0.09000000000000001</c:v>
                </c:pt>
                <c:pt idx="60">
                  <c:v>0.09000000000000001</c:v>
                </c:pt>
                <c:pt idx="61">
                  <c:v>0.11</c:v>
                </c:pt>
                <c:pt idx="63">
                  <c:v>0.37</c:v>
                </c:pt>
                <c:pt idx="64">
                  <c:v>0.37</c:v>
                </c:pt>
                <c:pt idx="65">
                  <c:v>0.35</c:v>
                </c:pt>
                <c:pt idx="66">
                  <c:v>0.35</c:v>
                </c:pt>
                <c:pt idx="67">
                  <c:v>0.37</c:v>
                </c:pt>
                <c:pt idx="69">
                  <c:v>0.65</c:v>
                </c:pt>
                <c:pt idx="70">
                  <c:v>0.65</c:v>
                </c:pt>
                <c:pt idx="71">
                  <c:v>0.63</c:v>
                </c:pt>
                <c:pt idx="72">
                  <c:v>0.63</c:v>
                </c:pt>
                <c:pt idx="73">
                  <c:v>0.65</c:v>
                </c:pt>
                <c:pt idx="75">
                  <c:v>0.91</c:v>
                </c:pt>
                <c:pt idx="76">
                  <c:v>0.91</c:v>
                </c:pt>
                <c:pt idx="77">
                  <c:v>0.89</c:v>
                </c:pt>
                <c:pt idx="78">
                  <c:v>0.89</c:v>
                </c:pt>
                <c:pt idx="79">
                  <c:v>0.91</c:v>
                </c:pt>
                <c:pt idx="81">
                  <c:v>0.11</c:v>
                </c:pt>
                <c:pt idx="82">
                  <c:v>0.11</c:v>
                </c:pt>
                <c:pt idx="83">
                  <c:v>0.09000000000000001</c:v>
                </c:pt>
                <c:pt idx="84">
                  <c:v>0.09000000000000001</c:v>
                </c:pt>
                <c:pt idx="85">
                  <c:v>0.11</c:v>
                </c:pt>
                <c:pt idx="87">
                  <c:v>0.91</c:v>
                </c:pt>
                <c:pt idx="88">
                  <c:v>0.91</c:v>
                </c:pt>
                <c:pt idx="89">
                  <c:v>0.89</c:v>
                </c:pt>
                <c:pt idx="90">
                  <c:v>0.89</c:v>
                </c:pt>
                <c:pt idx="91">
                  <c:v>0.91</c:v>
                </c:pt>
                <c:pt idx="93">
                  <c:v>0.11</c:v>
                </c:pt>
                <c:pt idx="94">
                  <c:v>0.11</c:v>
                </c:pt>
                <c:pt idx="95">
                  <c:v>0.09000000000000001</c:v>
                </c:pt>
                <c:pt idx="96">
                  <c:v>0.09000000000000001</c:v>
                </c:pt>
                <c:pt idx="97">
                  <c:v>0.11</c:v>
                </c:pt>
                <c:pt idx="99">
                  <c:v>0.91</c:v>
                </c:pt>
                <c:pt idx="100">
                  <c:v>0.91</c:v>
                </c:pt>
                <c:pt idx="101">
                  <c:v>0.89</c:v>
                </c:pt>
                <c:pt idx="102">
                  <c:v>0.89</c:v>
                </c:pt>
                <c:pt idx="103">
                  <c:v>0.91</c:v>
                </c:pt>
                <c:pt idx="105">
                  <c:v>0.11</c:v>
                </c:pt>
                <c:pt idx="106">
                  <c:v>0.11</c:v>
                </c:pt>
                <c:pt idx="107">
                  <c:v>0.09000000000000001</c:v>
                </c:pt>
                <c:pt idx="108">
                  <c:v>0.09000000000000001</c:v>
                </c:pt>
                <c:pt idx="109">
                  <c:v>0.11</c:v>
                </c:pt>
                <c:pt idx="111">
                  <c:v>0.91</c:v>
                </c:pt>
                <c:pt idx="112">
                  <c:v>0.91</c:v>
                </c:pt>
                <c:pt idx="113">
                  <c:v>0.89</c:v>
                </c:pt>
                <c:pt idx="114">
                  <c:v>0.89</c:v>
                </c:pt>
                <c:pt idx="115">
                  <c:v>0.91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6">
                  <c:v>2.7699999999999996</c:v>
                </c:pt>
                <c:pt idx="227">
                  <c:v>2.75</c:v>
                </c:pt>
                <c:pt idx="229">
                  <c:v>2.75</c:v>
                </c:pt>
                <c:pt idx="230">
                  <c:v>2.7699999999999996</c:v>
                </c:pt>
                <c:pt idx="232">
                  <c:v>0.6371375</c:v>
                </c:pt>
                <c:pt idx="233">
                  <c:v>0.8733228900000001</c:v>
                </c:pt>
                <c:pt idx="235">
                  <c:v>0.5</c:v>
                </c:pt>
                <c:pt idx="236">
                  <c:v>0.5</c:v>
                </c:pt>
                <c:pt idx="238">
                  <c:v>0.52</c:v>
                </c:pt>
                <c:pt idx="239">
                  <c:v>0.48</c:v>
                </c:pt>
                <c:pt idx="241">
                  <c:v>0</c:v>
                </c:pt>
                <c:pt idx="242">
                  <c:v>1</c:v>
                </c:pt>
                <c:pt idx="244">
                  <c:v>0.5</c:v>
                </c:pt>
                <c:pt idx="245">
                  <c:v>0.5</c:v>
                </c:pt>
              </c:numCache>
            </c:numRef>
          </c:xVal>
          <c:yVal>
            <c:numRef>
              <c:f>Calculs!$V$92:$V$337</c:f>
              <c:numCache>
                <c:ptCount val="246"/>
                <c:pt idx="0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0.11</c:v>
                </c:pt>
                <c:pt idx="34">
                  <c:v>0.09000000000000001</c:v>
                </c:pt>
                <c:pt idx="35">
                  <c:v>0.09000000000000001</c:v>
                </c:pt>
                <c:pt idx="36">
                  <c:v>0.11</c:v>
                </c:pt>
                <c:pt idx="37">
                  <c:v>0.11</c:v>
                </c:pt>
                <c:pt idx="39">
                  <c:v>0.11</c:v>
                </c:pt>
                <c:pt idx="40">
                  <c:v>0.09000000000000001</c:v>
                </c:pt>
                <c:pt idx="41">
                  <c:v>0.09000000000000001</c:v>
                </c:pt>
                <c:pt idx="42">
                  <c:v>0.11</c:v>
                </c:pt>
                <c:pt idx="43">
                  <c:v>0.11</c:v>
                </c:pt>
                <c:pt idx="45">
                  <c:v>0.11</c:v>
                </c:pt>
                <c:pt idx="46">
                  <c:v>0.09000000000000001</c:v>
                </c:pt>
                <c:pt idx="47">
                  <c:v>0.09000000000000001</c:v>
                </c:pt>
                <c:pt idx="48">
                  <c:v>0.11</c:v>
                </c:pt>
                <c:pt idx="49">
                  <c:v>0.11</c:v>
                </c:pt>
                <c:pt idx="51">
                  <c:v>0.11</c:v>
                </c:pt>
                <c:pt idx="52">
                  <c:v>0.09000000000000001</c:v>
                </c:pt>
                <c:pt idx="53">
                  <c:v>0.09000000000000001</c:v>
                </c:pt>
                <c:pt idx="54">
                  <c:v>0.11</c:v>
                </c:pt>
                <c:pt idx="55">
                  <c:v>0.11</c:v>
                </c:pt>
                <c:pt idx="57">
                  <c:v>1.11</c:v>
                </c:pt>
                <c:pt idx="58">
                  <c:v>1.09</c:v>
                </c:pt>
                <c:pt idx="59">
                  <c:v>1.09</c:v>
                </c:pt>
                <c:pt idx="60">
                  <c:v>1.11</c:v>
                </c:pt>
                <c:pt idx="61">
                  <c:v>1.11</c:v>
                </c:pt>
                <c:pt idx="63">
                  <c:v>1.11</c:v>
                </c:pt>
                <c:pt idx="64">
                  <c:v>1.09</c:v>
                </c:pt>
                <c:pt idx="65">
                  <c:v>1.09</c:v>
                </c:pt>
                <c:pt idx="66">
                  <c:v>1.11</c:v>
                </c:pt>
                <c:pt idx="67">
                  <c:v>1.11</c:v>
                </c:pt>
                <c:pt idx="69">
                  <c:v>1.11</c:v>
                </c:pt>
                <c:pt idx="70">
                  <c:v>1.09</c:v>
                </c:pt>
                <c:pt idx="71">
                  <c:v>1.09</c:v>
                </c:pt>
                <c:pt idx="72">
                  <c:v>1.11</c:v>
                </c:pt>
                <c:pt idx="73">
                  <c:v>1.11</c:v>
                </c:pt>
                <c:pt idx="75">
                  <c:v>1.11</c:v>
                </c:pt>
                <c:pt idx="76">
                  <c:v>1.09</c:v>
                </c:pt>
                <c:pt idx="77">
                  <c:v>1.09</c:v>
                </c:pt>
                <c:pt idx="78">
                  <c:v>1.11</c:v>
                </c:pt>
                <c:pt idx="79">
                  <c:v>1.11</c:v>
                </c:pt>
                <c:pt idx="81">
                  <c:v>0.36</c:v>
                </c:pt>
                <c:pt idx="82">
                  <c:v>0.33999999999999997</c:v>
                </c:pt>
                <c:pt idx="83">
                  <c:v>0.33999999999999997</c:v>
                </c:pt>
                <c:pt idx="84">
                  <c:v>0.36</c:v>
                </c:pt>
                <c:pt idx="85">
                  <c:v>0.36</c:v>
                </c:pt>
                <c:pt idx="87">
                  <c:v>0.37</c:v>
                </c:pt>
                <c:pt idx="88">
                  <c:v>0.35</c:v>
                </c:pt>
                <c:pt idx="89">
                  <c:v>0.35</c:v>
                </c:pt>
                <c:pt idx="90">
                  <c:v>0.37</c:v>
                </c:pt>
                <c:pt idx="91">
                  <c:v>0.37</c:v>
                </c:pt>
                <c:pt idx="93">
                  <c:v>0.61</c:v>
                </c:pt>
                <c:pt idx="94">
                  <c:v>0.59</c:v>
                </c:pt>
                <c:pt idx="95">
                  <c:v>0.59</c:v>
                </c:pt>
                <c:pt idx="96">
                  <c:v>0.61</c:v>
                </c:pt>
                <c:pt idx="97">
                  <c:v>0.61</c:v>
                </c:pt>
                <c:pt idx="99">
                  <c:v>0.61</c:v>
                </c:pt>
                <c:pt idx="100">
                  <c:v>0.59</c:v>
                </c:pt>
                <c:pt idx="101">
                  <c:v>0.59</c:v>
                </c:pt>
                <c:pt idx="102">
                  <c:v>0.61</c:v>
                </c:pt>
                <c:pt idx="103">
                  <c:v>0.61</c:v>
                </c:pt>
                <c:pt idx="105">
                  <c:v>0.86</c:v>
                </c:pt>
                <c:pt idx="106">
                  <c:v>0.84</c:v>
                </c:pt>
                <c:pt idx="107">
                  <c:v>0.84</c:v>
                </c:pt>
                <c:pt idx="108">
                  <c:v>0.86</c:v>
                </c:pt>
                <c:pt idx="109">
                  <c:v>0.86</c:v>
                </c:pt>
                <c:pt idx="111">
                  <c:v>0.86</c:v>
                </c:pt>
                <c:pt idx="112">
                  <c:v>0.84</c:v>
                </c:pt>
                <c:pt idx="113">
                  <c:v>0.84</c:v>
                </c:pt>
                <c:pt idx="114">
                  <c:v>0.86</c:v>
                </c:pt>
                <c:pt idx="115">
                  <c:v>0.86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6">
                  <c:v>1.43</c:v>
                </c:pt>
                <c:pt idx="227">
                  <c:v>1.41</c:v>
                </c:pt>
                <c:pt idx="229">
                  <c:v>1.43</c:v>
                </c:pt>
                <c:pt idx="230">
                  <c:v>1.41</c:v>
                </c:pt>
                <c:pt idx="232">
                  <c:v>1.2</c:v>
                </c:pt>
                <c:pt idx="233">
                  <c:v>0</c:v>
                </c:pt>
                <c:pt idx="235">
                  <c:v>0.62</c:v>
                </c:pt>
                <c:pt idx="236">
                  <c:v>0.58</c:v>
                </c:pt>
                <c:pt idx="238">
                  <c:v>0.6</c:v>
                </c:pt>
                <c:pt idx="239">
                  <c:v>0.6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Calculs!$W$91</c:f>
              <c:strCache>
                <c:ptCount val="1"/>
                <c:pt idx="0">
                  <c:v>axes principaux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Calculs!$U$92:$U$337</c:f>
              <c:numCache>
                <c:ptCount val="24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0.11</c:v>
                </c:pt>
                <c:pt idx="34">
                  <c:v>0.11</c:v>
                </c:pt>
                <c:pt idx="35">
                  <c:v>0.09000000000000001</c:v>
                </c:pt>
                <c:pt idx="36">
                  <c:v>0.09000000000000001</c:v>
                </c:pt>
                <c:pt idx="37">
                  <c:v>0.11</c:v>
                </c:pt>
                <c:pt idx="39">
                  <c:v>0.37</c:v>
                </c:pt>
                <c:pt idx="40">
                  <c:v>0.37</c:v>
                </c:pt>
                <c:pt idx="41">
                  <c:v>0.35</c:v>
                </c:pt>
                <c:pt idx="42">
                  <c:v>0.35</c:v>
                </c:pt>
                <c:pt idx="43">
                  <c:v>0.37</c:v>
                </c:pt>
                <c:pt idx="45">
                  <c:v>0.65</c:v>
                </c:pt>
                <c:pt idx="46">
                  <c:v>0.65</c:v>
                </c:pt>
                <c:pt idx="47">
                  <c:v>0.63</c:v>
                </c:pt>
                <c:pt idx="48">
                  <c:v>0.63</c:v>
                </c:pt>
                <c:pt idx="49">
                  <c:v>0.65</c:v>
                </c:pt>
                <c:pt idx="51">
                  <c:v>0.91</c:v>
                </c:pt>
                <c:pt idx="52">
                  <c:v>0.91</c:v>
                </c:pt>
                <c:pt idx="53">
                  <c:v>0.89</c:v>
                </c:pt>
                <c:pt idx="54">
                  <c:v>0.89</c:v>
                </c:pt>
                <c:pt idx="55">
                  <c:v>0.91</c:v>
                </c:pt>
                <c:pt idx="57">
                  <c:v>0.11</c:v>
                </c:pt>
                <c:pt idx="58">
                  <c:v>0.11</c:v>
                </c:pt>
                <c:pt idx="59">
                  <c:v>0.09000000000000001</c:v>
                </c:pt>
                <c:pt idx="60">
                  <c:v>0.09000000000000001</c:v>
                </c:pt>
                <c:pt idx="61">
                  <c:v>0.11</c:v>
                </c:pt>
                <c:pt idx="63">
                  <c:v>0.37</c:v>
                </c:pt>
                <c:pt idx="64">
                  <c:v>0.37</c:v>
                </c:pt>
                <c:pt idx="65">
                  <c:v>0.35</c:v>
                </c:pt>
                <c:pt idx="66">
                  <c:v>0.35</c:v>
                </c:pt>
                <c:pt idx="67">
                  <c:v>0.37</c:v>
                </c:pt>
                <c:pt idx="69">
                  <c:v>0.65</c:v>
                </c:pt>
                <c:pt idx="70">
                  <c:v>0.65</c:v>
                </c:pt>
                <c:pt idx="71">
                  <c:v>0.63</c:v>
                </c:pt>
                <c:pt idx="72">
                  <c:v>0.63</c:v>
                </c:pt>
                <c:pt idx="73">
                  <c:v>0.65</c:v>
                </c:pt>
                <c:pt idx="75">
                  <c:v>0.91</c:v>
                </c:pt>
                <c:pt idx="76">
                  <c:v>0.91</c:v>
                </c:pt>
                <c:pt idx="77">
                  <c:v>0.89</c:v>
                </c:pt>
                <c:pt idx="78">
                  <c:v>0.89</c:v>
                </c:pt>
                <c:pt idx="79">
                  <c:v>0.91</c:v>
                </c:pt>
                <c:pt idx="81">
                  <c:v>0.11</c:v>
                </c:pt>
                <c:pt idx="82">
                  <c:v>0.11</c:v>
                </c:pt>
                <c:pt idx="83">
                  <c:v>0.09000000000000001</c:v>
                </c:pt>
                <c:pt idx="84">
                  <c:v>0.09000000000000001</c:v>
                </c:pt>
                <c:pt idx="85">
                  <c:v>0.11</c:v>
                </c:pt>
                <c:pt idx="87">
                  <c:v>0.91</c:v>
                </c:pt>
                <c:pt idx="88">
                  <c:v>0.91</c:v>
                </c:pt>
                <c:pt idx="89">
                  <c:v>0.89</c:v>
                </c:pt>
                <c:pt idx="90">
                  <c:v>0.89</c:v>
                </c:pt>
                <c:pt idx="91">
                  <c:v>0.91</c:v>
                </c:pt>
                <c:pt idx="93">
                  <c:v>0.11</c:v>
                </c:pt>
                <c:pt idx="94">
                  <c:v>0.11</c:v>
                </c:pt>
                <c:pt idx="95">
                  <c:v>0.09000000000000001</c:v>
                </c:pt>
                <c:pt idx="96">
                  <c:v>0.09000000000000001</c:v>
                </c:pt>
                <c:pt idx="97">
                  <c:v>0.11</c:v>
                </c:pt>
                <c:pt idx="99">
                  <c:v>0.91</c:v>
                </c:pt>
                <c:pt idx="100">
                  <c:v>0.91</c:v>
                </c:pt>
                <c:pt idx="101">
                  <c:v>0.89</c:v>
                </c:pt>
                <c:pt idx="102">
                  <c:v>0.89</c:v>
                </c:pt>
                <c:pt idx="103">
                  <c:v>0.91</c:v>
                </c:pt>
                <c:pt idx="105">
                  <c:v>0.11</c:v>
                </c:pt>
                <c:pt idx="106">
                  <c:v>0.11</c:v>
                </c:pt>
                <c:pt idx="107">
                  <c:v>0.09000000000000001</c:v>
                </c:pt>
                <c:pt idx="108">
                  <c:v>0.09000000000000001</c:v>
                </c:pt>
                <c:pt idx="109">
                  <c:v>0.11</c:v>
                </c:pt>
                <c:pt idx="111">
                  <c:v>0.91</c:v>
                </c:pt>
                <c:pt idx="112">
                  <c:v>0.91</c:v>
                </c:pt>
                <c:pt idx="113">
                  <c:v>0.89</c:v>
                </c:pt>
                <c:pt idx="114">
                  <c:v>0.89</c:v>
                </c:pt>
                <c:pt idx="115">
                  <c:v>0.91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6">
                  <c:v>2.7699999999999996</c:v>
                </c:pt>
                <c:pt idx="227">
                  <c:v>2.75</c:v>
                </c:pt>
                <c:pt idx="229">
                  <c:v>2.75</c:v>
                </c:pt>
                <c:pt idx="230">
                  <c:v>2.7699999999999996</c:v>
                </c:pt>
                <c:pt idx="232">
                  <c:v>0.6371375</c:v>
                </c:pt>
                <c:pt idx="233">
                  <c:v>0.8733228900000001</c:v>
                </c:pt>
                <c:pt idx="235">
                  <c:v>0.5</c:v>
                </c:pt>
                <c:pt idx="236">
                  <c:v>0.5</c:v>
                </c:pt>
                <c:pt idx="238">
                  <c:v>0.52</c:v>
                </c:pt>
                <c:pt idx="239">
                  <c:v>0.48</c:v>
                </c:pt>
                <c:pt idx="241">
                  <c:v>0</c:v>
                </c:pt>
                <c:pt idx="242">
                  <c:v>1</c:v>
                </c:pt>
                <c:pt idx="244">
                  <c:v>0.5</c:v>
                </c:pt>
                <c:pt idx="245">
                  <c:v>0.5</c:v>
                </c:pt>
              </c:numCache>
            </c:numRef>
          </c:xVal>
          <c:yVal>
            <c:numRef>
              <c:f>Calculs!$W$92:$W$337</c:f>
              <c:numCache>
                <c:ptCount val="246"/>
                <c:pt idx="241">
                  <c:v>0.6</c:v>
                </c:pt>
                <c:pt idx="242">
                  <c:v>0.6</c:v>
                </c:pt>
                <c:pt idx="244">
                  <c:v>0</c:v>
                </c:pt>
                <c:pt idx="245">
                  <c:v>1.2</c:v>
                </c:pt>
              </c:numCache>
            </c:numRef>
          </c:yVal>
          <c:smooth val="0"/>
        </c:ser>
        <c:axId val="38120105"/>
        <c:axId val="7536626"/>
      </c:scatterChart>
      <c:valAx>
        <c:axId val="38120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36626"/>
        <c:crosses val="autoZero"/>
        <c:crossBetween val="midCat"/>
        <c:dispUnits/>
      </c:valAx>
      <c:valAx>
        <c:axId val="7536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20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25"/>
          <c:y val="0"/>
          <c:w val="0.42125"/>
          <c:h val="0.0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128</xdr:row>
      <xdr:rowOff>9525</xdr:rowOff>
    </xdr:from>
    <xdr:to>
      <xdr:col>12</xdr:col>
      <xdr:colOff>361950</xdr:colOff>
      <xdr:row>164</xdr:row>
      <xdr:rowOff>133350</xdr:rowOff>
    </xdr:to>
    <xdr:graphicFrame>
      <xdr:nvGraphicFramePr>
        <xdr:cNvPr id="1" name="Shape 1030"/>
        <xdr:cNvGraphicFramePr/>
      </xdr:nvGraphicFramePr>
      <xdr:xfrm>
        <a:off x="1028700" y="20278725"/>
        <a:ext cx="61436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485775</xdr:colOff>
      <xdr:row>14</xdr:row>
      <xdr:rowOff>142875</xdr:rowOff>
    </xdr:from>
    <xdr:to>
      <xdr:col>3</xdr:col>
      <xdr:colOff>342900</xdr:colOff>
      <xdr:row>18</xdr:row>
      <xdr:rowOff>9525</xdr:rowOff>
    </xdr:to>
    <xdr:sp>
      <xdr:nvSpPr>
        <xdr:cNvPr id="2" name="Line 162"/>
        <xdr:cNvSpPr>
          <a:spLocks/>
        </xdr:cNvSpPr>
      </xdr:nvSpPr>
      <xdr:spPr>
        <a:xfrm flipH="1">
          <a:off x="1304925" y="2466975"/>
          <a:ext cx="5334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400050</xdr:colOff>
      <xdr:row>14</xdr:row>
      <xdr:rowOff>133350</xdr:rowOff>
    </xdr:from>
    <xdr:to>
      <xdr:col>7</xdr:col>
      <xdr:colOff>590550</xdr:colOff>
      <xdr:row>18</xdr:row>
      <xdr:rowOff>0</xdr:rowOff>
    </xdr:to>
    <xdr:sp>
      <xdr:nvSpPr>
        <xdr:cNvPr id="3" name="Line 163"/>
        <xdr:cNvSpPr>
          <a:spLocks/>
        </xdr:cNvSpPr>
      </xdr:nvSpPr>
      <xdr:spPr>
        <a:xfrm>
          <a:off x="2447925" y="2457450"/>
          <a:ext cx="19050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123825</xdr:colOff>
      <xdr:row>84</xdr:row>
      <xdr:rowOff>114300</xdr:rowOff>
    </xdr:from>
    <xdr:to>
      <xdr:col>11</xdr:col>
      <xdr:colOff>628650</xdr:colOff>
      <xdr:row>120</xdr:row>
      <xdr:rowOff>9525</xdr:rowOff>
    </xdr:to>
    <xdr:graphicFrame>
      <xdr:nvGraphicFramePr>
        <xdr:cNvPr id="4" name="Chart 601"/>
        <xdr:cNvGraphicFramePr/>
      </xdr:nvGraphicFramePr>
      <xdr:xfrm>
        <a:off x="123825" y="13677900"/>
        <a:ext cx="6667500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F387"/>
  <sheetViews>
    <sheetView showGridLines="0" tabSelected="1" view="pageBreakPreview" zoomScaleSheetLayoutView="100" workbookViewId="0" topLeftCell="A1">
      <selection activeCell="C11" sqref="C11:C12"/>
      <selection activeCell="A1" sqref="A1"/>
      <selection activeCell="C19" sqref="C19"/>
    </sheetView>
  </sheetViews>
  <sheetFormatPr defaultColWidth="11.421875" defaultRowHeight="12"/>
  <cols>
    <col min="1" max="1" width="4.140625" style="21" customWidth="1"/>
    <col min="2" max="2" width="8.140625" style="20" customWidth="1"/>
    <col min="3" max="3" width="10.140625" style="20" customWidth="1"/>
    <col min="4" max="4" width="8.28125" style="21" customWidth="1"/>
    <col min="5" max="5" width="8.8515625" style="21" customWidth="1"/>
    <col min="6" max="6" width="8.7109375" style="21" customWidth="1"/>
    <col min="7" max="7" width="8.140625" style="21" customWidth="1"/>
    <col min="8" max="8" width="9.00390625" style="20" customWidth="1"/>
    <col min="9" max="10" width="8.140625" style="21" customWidth="1"/>
    <col min="11" max="11" width="10.7109375" style="21" customWidth="1"/>
    <col min="12" max="12" width="9.7109375" style="21" customWidth="1"/>
    <col min="13" max="13" width="9.140625" style="21" customWidth="1"/>
    <col min="14" max="14" width="13.140625" style="21" customWidth="1"/>
    <col min="15" max="15" width="57.7109375" style="21" customWidth="1"/>
    <col min="16" max="16" width="57.7109375" style="129" customWidth="1"/>
    <col min="17" max="19" width="9.00390625" style="129" customWidth="1"/>
    <col min="20" max="20" width="9.00390625" style="122" customWidth="1"/>
    <col min="21" max="21" width="9.28125" style="122" customWidth="1"/>
    <col min="22" max="25" width="9.00390625" style="122" customWidth="1"/>
    <col min="26" max="27" width="9.00390625" style="210" customWidth="1"/>
    <col min="28" max="28" width="9.00390625" style="122" customWidth="1"/>
    <col min="29" max="56" width="9.00390625" style="129" customWidth="1"/>
    <col min="57" max="16384" width="12.00390625" style="21" customWidth="1"/>
  </cols>
  <sheetData>
    <row r="1" spans="2:9" ht="12.75" thickBot="1">
      <c r="B1" s="324" t="s">
        <v>275</v>
      </c>
      <c r="C1" s="324"/>
      <c r="D1" s="324"/>
      <c r="E1" s="324"/>
      <c r="F1" s="324"/>
      <c r="G1" s="324"/>
      <c r="H1" s="324"/>
      <c r="I1" s="324"/>
    </row>
    <row r="2" spans="1:49" ht="13.5">
      <c r="A2" s="19" t="s">
        <v>274</v>
      </c>
      <c r="H2" s="21"/>
      <c r="O2" s="36"/>
      <c r="P2" s="128"/>
      <c r="W2" s="122" t="str">
        <f>"PATIENTEZ ! Temps de calcul "</f>
        <v>PATIENTEZ ! Temps de calcul </v>
      </c>
      <c r="Y2" s="238"/>
      <c r="Z2" s="208" t="s">
        <v>213</v>
      </c>
      <c r="AA2" s="209">
        <f>IF(ELU=1,fck/sc,I20)</f>
        <v>2.3333333333333335</v>
      </c>
      <c r="AB2" s="238"/>
      <c r="AC2" s="136"/>
      <c r="AT2" s="132"/>
      <c r="AU2" s="132"/>
      <c r="AV2" s="133" t="s">
        <v>90</v>
      </c>
      <c r="AW2" s="134" t="s">
        <v>92</v>
      </c>
    </row>
    <row r="3" spans="2:52" ht="13.5">
      <c r="B3" s="19" t="s">
        <v>58</v>
      </c>
      <c r="H3" s="21"/>
      <c r="N3" s="270" t="s">
        <v>56</v>
      </c>
      <c r="O3" s="127"/>
      <c r="P3" s="135"/>
      <c r="W3" s="122" t="str">
        <f>"long"</f>
        <v>long</v>
      </c>
      <c r="Y3" s="238"/>
      <c r="Z3" s="208" t="s">
        <v>214</v>
      </c>
      <c r="AA3" s="271">
        <f>IF(ELU=1,fyk/ss,I21)</f>
        <v>1.6666666666666667</v>
      </c>
      <c r="AB3" s="238"/>
      <c r="AC3" s="136"/>
      <c r="AR3" s="136"/>
      <c r="AT3" s="132"/>
      <c r="AU3" s="132"/>
      <c r="AV3" s="137" t="s">
        <v>96</v>
      </c>
      <c r="AW3" s="138" t="s">
        <v>91</v>
      </c>
      <c r="AY3" s="132"/>
      <c r="AZ3" s="132"/>
    </row>
    <row r="4" spans="2:49" ht="12">
      <c r="B4" s="29" t="s">
        <v>150</v>
      </c>
      <c r="H4" s="21"/>
      <c r="N4" s="270" t="s">
        <v>128</v>
      </c>
      <c r="O4" s="36"/>
      <c r="P4" s="128"/>
      <c r="S4" s="132" t="s">
        <v>57</v>
      </c>
      <c r="T4" s="210">
        <f>IF(C21=0,T5,C21)</f>
        <v>15</v>
      </c>
      <c r="W4" s="122" t="str">
        <f>"très long"</f>
        <v>très long</v>
      </c>
      <c r="Y4" s="238"/>
      <c r="Z4" s="238"/>
      <c r="AA4" s="238"/>
      <c r="AB4" s="238"/>
      <c r="AC4" s="136"/>
      <c r="AU4" s="132"/>
      <c r="AV4" s="139">
        <f>BA23-T21</f>
        <v>-3.114458516110844</v>
      </c>
      <c r="AW4" s="140">
        <f>AV4/180</f>
        <v>-0.01730254731172691</v>
      </c>
    </row>
    <row r="5" spans="8:53" ht="12">
      <c r="H5" s="21"/>
      <c r="N5" s="270" t="s">
        <v>233</v>
      </c>
      <c r="O5" s="270"/>
      <c r="P5" s="141"/>
      <c r="S5" s="132" t="s">
        <v>124</v>
      </c>
      <c r="T5" s="210">
        <f>200/AE18</f>
        <v>5.882352941176471</v>
      </c>
      <c r="W5" s="122">
        <f>Np^3*(Nb+Na)</f>
        <v>3888</v>
      </c>
      <c r="Y5" s="238"/>
      <c r="Z5" s="238"/>
      <c r="AA5" s="238"/>
      <c r="AB5" s="238"/>
      <c r="AC5" s="136"/>
      <c r="AS5" s="142">
        <v>1</v>
      </c>
      <c r="AT5" s="143"/>
      <c r="AU5" s="142">
        <v>2</v>
      </c>
      <c r="AV5" s="144"/>
      <c r="AW5" s="145">
        <v>3</v>
      </c>
      <c r="AX5" s="143"/>
      <c r="AY5" s="142">
        <v>4</v>
      </c>
      <c r="AZ5" s="143"/>
      <c r="BA5" s="146" t="s">
        <v>80</v>
      </c>
    </row>
    <row r="6" spans="2:54" ht="12">
      <c r="B6" s="32" t="s">
        <v>218</v>
      </c>
      <c r="J6" s="26"/>
      <c r="K6" s="26"/>
      <c r="L6" s="323"/>
      <c r="M6" s="323"/>
      <c r="N6" s="270" t="s">
        <v>234</v>
      </c>
      <c r="O6" s="270"/>
      <c r="Y6" s="238"/>
      <c r="Z6" s="238"/>
      <c r="AA6" s="238"/>
      <c r="AB6" s="238"/>
      <c r="AC6" s="136"/>
      <c r="AS6" s="147" t="s">
        <v>70</v>
      </c>
      <c r="AT6" s="148"/>
      <c r="AU6" s="147" t="s">
        <v>71</v>
      </c>
      <c r="AV6" s="148"/>
      <c r="AW6" s="147" t="s">
        <v>212</v>
      </c>
      <c r="AX6" s="148"/>
      <c r="AY6" s="147" t="s">
        <v>85</v>
      </c>
      <c r="AZ6" s="148"/>
      <c r="BA6" s="146"/>
      <c r="BB6" s="149"/>
    </row>
    <row r="7" spans="9:54" ht="12.75" thickBot="1">
      <c r="I7" s="108">
        <f>IF(W5&gt;10000,PAT1,"")&amp;IF(W5&gt;200000,PAT3,IF(W5&gt;10000,PAT2,""))</f>
      </c>
      <c r="J7" s="26"/>
      <c r="K7" s="26"/>
      <c r="L7" s="26"/>
      <c r="M7" s="26"/>
      <c r="N7" s="270" t="s">
        <v>235</v>
      </c>
      <c r="O7" s="270"/>
      <c r="Q7" s="150" t="s">
        <v>237</v>
      </c>
      <c r="AS7" s="132"/>
      <c r="AT7" s="132"/>
      <c r="AU7" s="133" t="s">
        <v>78</v>
      </c>
      <c r="AV7" s="295" t="str">
        <f>IF(AT21=-1,PTo(V21,D37,D38,Nb,BXK,BYK,Na,AXK,AYK,AA,neq,exg,eyg,P,Np,typ,fck,gc,ecc12,ecu,kc,nc,eud,fyk,gs,ks,euk,eso,ELU),0)</f>
        <v> 330157210 0 701711870 0-121538050 0-137645923 1-981175903 0-193116149 0 250425722 0 113411910-8 821286592 0 962958720 1-300000000 3 356031918 0-856883364 0-739454158 0000000000000000000000000000000000000000000000000000000000000000000000000000000000000000000000000000000000000000000000000000000000000000000000000000000000000000000000000000000000000000000000000</v>
      </c>
      <c r="AW7" s="132" t="s">
        <v>79</v>
      </c>
      <c r="AX7" s="130">
        <f>IF(P=0,0,IF(ELU=2,ECo(V21,Nb,BXK,BYK,Na,AXK,AYK,AA,Np,ecc12,ecu,exg,eyg,typ,fck,gc,kc,nc,eud,fyk,gs,ks,euk,eso,P),0))</f>
        <v>0</v>
      </c>
      <c r="AY7" s="133" t="s">
        <v>78</v>
      </c>
      <c r="AZ7" s="236">
        <f>IF(AX21=-3,PTo(V21,D37,D38,Nb,BXK,BYK,Na,AXK,AYK,AA,neq,exg,eyg,P,Np,typ,fck,gc,ecc12,ecu,kc,nc,eud,fyk,gs,ks,euk,eso,ELU),0)</f>
        <v>0</v>
      </c>
      <c r="BA7" s="150" t="s">
        <v>118</v>
      </c>
      <c r="BB7" s="151"/>
    </row>
    <row r="8" spans="2:54" ht="14.25" thickTop="1">
      <c r="B8" s="34" t="s">
        <v>189</v>
      </c>
      <c r="C8" s="3">
        <v>6</v>
      </c>
      <c r="D8" s="22" t="s">
        <v>248</v>
      </c>
      <c r="K8" s="26"/>
      <c r="L8" s="26"/>
      <c r="M8" s="26"/>
      <c r="N8" s="270" t="s">
        <v>236</v>
      </c>
      <c r="O8" s="270"/>
      <c r="Q8" s="152" t="s">
        <v>238</v>
      </c>
      <c r="X8" s="211" t="s">
        <v>135</v>
      </c>
      <c r="Y8" s="212"/>
      <c r="Z8" s="213" t="s">
        <v>136</v>
      </c>
      <c r="AA8" s="122"/>
      <c r="AD8" s="136"/>
      <c r="AE8" s="136"/>
      <c r="AS8" s="132"/>
      <c r="AT8" s="132"/>
      <c r="AU8" s="151" t="s">
        <v>144</v>
      </c>
      <c r="AV8" s="138">
        <f>IF(AV$7=0,0,macf(AV$7,1))</f>
        <v>0.33015721000000003</v>
      </c>
      <c r="AW8" s="132" t="s">
        <v>144</v>
      </c>
      <c r="AX8" s="132">
        <f>IF(AX$7=0,0,macf(AX$7,1))</f>
        <v>0</v>
      </c>
      <c r="AY8" s="151" t="s">
        <v>144</v>
      </c>
      <c r="AZ8" s="138">
        <f>IF(AZ$7=0,0,macf(AZ$7,1))</f>
        <v>0</v>
      </c>
      <c r="BA8" s="152">
        <f>CHOOSE(cas,AT8,AV8,AX8,AZ8)</f>
        <v>0.33015721000000003</v>
      </c>
      <c r="BB8" s="151"/>
    </row>
    <row r="9" spans="2:54" ht="13.5">
      <c r="B9" s="34" t="s">
        <v>190</v>
      </c>
      <c r="C9" s="4">
        <v>4</v>
      </c>
      <c r="D9" s="22" t="s">
        <v>127</v>
      </c>
      <c r="I9" s="107">
        <f>IF(exg&lt;0,AVA,IF(eyg&lt;0,AVA,""))</f>
      </c>
      <c r="Q9" s="152" t="s">
        <v>239</v>
      </c>
      <c r="V9" s="214" t="s">
        <v>32</v>
      </c>
      <c r="X9" s="215" t="s">
        <v>42</v>
      </c>
      <c r="Y9" s="117"/>
      <c r="Z9" s="216" t="s">
        <v>44</v>
      </c>
      <c r="AA9" s="122"/>
      <c r="AB9" s="210"/>
      <c r="AD9" s="136"/>
      <c r="AE9" s="136"/>
      <c r="AS9" s="132">
        <f>macf(AV$7,1)</f>
        <v>0.33015721000000003</v>
      </c>
      <c r="AT9" s="132"/>
      <c r="AU9" s="151" t="s">
        <v>161</v>
      </c>
      <c r="AV9" s="138">
        <f>IF(AV$7=0,0,macf(AV$7,2))</f>
        <v>0.70171187</v>
      </c>
      <c r="AW9" s="151" t="s">
        <v>161</v>
      </c>
      <c r="AX9" s="138">
        <f>IF(AX$7=0,0,macf(AX$7,2))</f>
        <v>0</v>
      </c>
      <c r="AY9" s="151" t="s">
        <v>161</v>
      </c>
      <c r="AZ9" s="138">
        <f>IF(AZ$7=0,0,macf(AZ$7,2))</f>
        <v>0</v>
      </c>
      <c r="BA9" s="152">
        <f>CHOOSE(cas,AT9,AV9,AX9,AZ9)</f>
        <v>0.70171187</v>
      </c>
      <c r="BB9" s="151"/>
    </row>
    <row r="10" spans="2:54" ht="14.25" customHeight="1" thickBot="1">
      <c r="B10" s="34" t="s">
        <v>191</v>
      </c>
      <c r="C10" s="5">
        <v>14</v>
      </c>
      <c r="D10" s="22" t="s">
        <v>126</v>
      </c>
      <c r="I10" s="108">
        <f>IF(exg&lt;0,AVB,IF(eyg&lt;0,AVB,""))</f>
      </c>
      <c r="K10" s="296"/>
      <c r="L10" s="296"/>
      <c r="M10" s="296"/>
      <c r="N10" s="296"/>
      <c r="Q10" s="164" t="s">
        <v>211</v>
      </c>
      <c r="T10" s="119" t="s">
        <v>137</v>
      </c>
      <c r="U10" s="217" t="str">
        <f>geom(Nb,Na,BX,BY,AA,AX,AY,0,neq)</f>
        <v> 500000000 0 600000000 0000000000000 144000000 0 100000000-1000000000000 144000000 0 100000000-1 120000000 1000000000000000000000000000000000000</v>
      </c>
      <c r="V10" s="217" t="str">
        <f>geom(Nb,Na,BX,BY,AA,AX,AY,1,neq)</f>
        <v> 500000000 0 600056505 0-611392664-3 160530909 0 112358240 0 294524311-4 160530927 0 112358222 0 130308350 1000000000000000000000000000000000000</v>
      </c>
      <c r="W10" s="217" t="str">
        <f>geom(Nb,Na,BX,BY,AA,AX,AY,2,neq)</f>
        <v> 500000000 0 600714285 0-705802845-2 165308606-1 123582401-1 294524311-4 165310685-1 123580322-1 103083508 0000000000000000000000000000000000000</v>
      </c>
      <c r="X10" s="216" t="s">
        <v>40</v>
      </c>
      <c r="Y10" s="218" t="s">
        <v>41</v>
      </c>
      <c r="Z10" s="219" t="s">
        <v>43</v>
      </c>
      <c r="AA10" s="122"/>
      <c r="AB10" s="210"/>
      <c r="AD10" s="133" t="s">
        <v>106</v>
      </c>
      <c r="AE10" s="134">
        <f>fck+8</f>
        <v>43</v>
      </c>
      <c r="AI10" s="136"/>
      <c r="AJ10" s="136"/>
      <c r="AK10" s="136"/>
      <c r="AL10" s="136"/>
      <c r="AM10" s="136"/>
      <c r="AN10" s="136"/>
      <c r="AQ10" s="136"/>
      <c r="AS10" s="132">
        <f>macf(AV$7,2)</f>
        <v>0.70171187</v>
      </c>
      <c r="AT10" s="132"/>
      <c r="AU10" s="151" t="s">
        <v>162</v>
      </c>
      <c r="AV10" s="138">
        <f>IF(AV$7=0,0,macf(AV$7,3))</f>
        <v>-0.12153805000000001</v>
      </c>
      <c r="AW10" s="151" t="s">
        <v>162</v>
      </c>
      <c r="AX10" s="138">
        <f>IF(AX$7=0,0,macf(AX$7,3))</f>
        <v>0</v>
      </c>
      <c r="AY10" s="151" t="s">
        <v>162</v>
      </c>
      <c r="AZ10" s="138">
        <f>IF(AZ$7=0,0,macf(AZ$7,3))</f>
        <v>0</v>
      </c>
      <c r="BA10" s="152">
        <f>CHOOSE(cas,AT10,AV10,AX10,AZ10)</f>
        <v>-0.12153805000000001</v>
      </c>
      <c r="BB10" s="151"/>
    </row>
    <row r="11" spans="2:54" ht="13.5" customHeight="1" thickBot="1" thickTop="1">
      <c r="B11" s="34"/>
      <c r="C11" s="21"/>
      <c r="K11" s="296"/>
      <c r="L11" s="296"/>
      <c r="M11" s="296"/>
      <c r="N11" s="296"/>
      <c r="W11" s="210" t="s">
        <v>27</v>
      </c>
      <c r="X11" s="220">
        <f>macf(U10,1)</f>
        <v>0.5</v>
      </c>
      <c r="Y11" s="221">
        <f>macf(V10,1)</f>
        <v>0.5</v>
      </c>
      <c r="Z11" s="221">
        <f>macf(W10,1)</f>
        <v>0.5</v>
      </c>
      <c r="AA11" s="210" t="s">
        <v>187</v>
      </c>
      <c r="AB11" s="222" t="s">
        <v>139</v>
      </c>
      <c r="AD11" s="151" t="s">
        <v>107</v>
      </c>
      <c r="AE11" s="138">
        <f>VLOOKUP(fck,tabfck,5)</f>
        <v>2.25</v>
      </c>
      <c r="AI11" s="136"/>
      <c r="AJ11" s="136"/>
      <c r="AK11" s="136"/>
      <c r="AL11" s="136"/>
      <c r="AM11" s="136"/>
      <c r="AN11" s="136"/>
      <c r="AQ11" s="136"/>
      <c r="AS11" s="132">
        <f>macf(AV$7,3)</f>
        <v>-0.12153805000000001</v>
      </c>
      <c r="AT11" s="132"/>
      <c r="AU11" s="151" t="s">
        <v>207</v>
      </c>
      <c r="AV11" s="138">
        <f>IF(AV$7=0,0,macf(AV$7,4))</f>
        <v>-1.3764592</v>
      </c>
      <c r="AW11" s="132" t="s">
        <v>207</v>
      </c>
      <c r="AX11" s="132">
        <f>IF(AX$7=0,0,macf(AX$7,4))</f>
        <v>0</v>
      </c>
      <c r="AY11" s="151" t="s">
        <v>207</v>
      </c>
      <c r="AZ11" s="138">
        <f>IF(AZ$7=0,0,macf(AZ$7,4))</f>
        <v>0</v>
      </c>
      <c r="BA11" s="154">
        <f aca="true" t="shared" si="0" ref="BA11:BA18">CHOOSE(cas,AT11,AV11,AX11,AZ11)</f>
        <v>-1.3764592</v>
      </c>
      <c r="BB11" s="132"/>
    </row>
    <row r="12" spans="2:54" ht="14.25" customHeight="1" thickTop="1">
      <c r="B12" s="34" t="s">
        <v>98</v>
      </c>
      <c r="C12" s="3">
        <v>0.402</v>
      </c>
      <c r="D12" s="21" t="s">
        <v>64</v>
      </c>
      <c r="U12" s="116" t="s">
        <v>176</v>
      </c>
      <c r="V12" s="117"/>
      <c r="W12" s="210" t="s">
        <v>28</v>
      </c>
      <c r="X12" s="223">
        <f>macf(U10,2)</f>
        <v>0.6</v>
      </c>
      <c r="Y12" s="224">
        <f>macf(V10,2)</f>
        <v>0.6000565</v>
      </c>
      <c r="Z12" s="224">
        <f>macf(W10,2)</f>
        <v>0.60071428</v>
      </c>
      <c r="AA12" s="210" t="s">
        <v>187</v>
      </c>
      <c r="AB12" s="210" t="s">
        <v>46</v>
      </c>
      <c r="AD12" s="151" t="s">
        <v>108</v>
      </c>
      <c r="AE12" s="138">
        <f>VLOOKUP(fck,tabfck,4)</f>
        <v>3.5</v>
      </c>
      <c r="AI12" s="155" t="s">
        <v>246</v>
      </c>
      <c r="AJ12" s="156"/>
      <c r="AK12" s="156"/>
      <c r="AL12" s="156"/>
      <c r="AM12" s="156"/>
      <c r="AN12" s="153"/>
      <c r="AP12" s="157"/>
      <c r="AQ12" s="136"/>
      <c r="AS12" s="132">
        <f>macf(AV$7,4)</f>
        <v>-1.3764592</v>
      </c>
      <c r="AT12" s="132"/>
      <c r="AU12" s="151" t="s">
        <v>168</v>
      </c>
      <c r="AV12" s="138">
        <f>IF(AV$7=0,0,macf(AV$7,5))</f>
        <v>-0.9811759</v>
      </c>
      <c r="AW12" s="132" t="s">
        <v>168</v>
      </c>
      <c r="AX12" s="132">
        <f>IF(AX$7=0,0,macf(AX$7,5))</f>
        <v>0</v>
      </c>
      <c r="AY12" s="151" t="s">
        <v>168</v>
      </c>
      <c r="AZ12" s="138">
        <f>IF(AZ$7=0,0,macf(AZ$7,5))</f>
        <v>0</v>
      </c>
      <c r="BA12" s="154">
        <f t="shared" si="0"/>
        <v>-0.9811759</v>
      </c>
      <c r="BB12" s="132"/>
    </row>
    <row r="13" spans="2:54" ht="11.25" customHeight="1">
      <c r="B13" s="34" t="str">
        <f>IF(P=0,"My","ex")</f>
        <v>ex</v>
      </c>
      <c r="C13" s="4">
        <v>2.76</v>
      </c>
      <c r="D13" s="21" t="s">
        <v>271</v>
      </c>
      <c r="U13" s="225" t="s">
        <v>147</v>
      </c>
      <c r="V13" s="120">
        <f>X22/Y19</f>
        <v>8.085923753509089</v>
      </c>
      <c r="W13" s="210" t="s">
        <v>39</v>
      </c>
      <c r="X13" s="226">
        <f>macf(U10,3)/PI()*180</f>
        <v>0</v>
      </c>
      <c r="Y13" s="227">
        <f>macf(V10,3)/PI()*180</f>
        <v>-0.035030219043276904</v>
      </c>
      <c r="Z13" s="227">
        <f>macf(W10,3)/PI()*180</f>
        <v>-0.40439523900347324</v>
      </c>
      <c r="AA13" s="210" t="s">
        <v>138</v>
      </c>
      <c r="AB13" s="222" t="s">
        <v>47</v>
      </c>
      <c r="AD13" s="151" t="s">
        <v>109</v>
      </c>
      <c r="AE13" s="138">
        <f>VLOOKUP(fck,tabfck,7)</f>
        <v>2</v>
      </c>
      <c r="AI13" s="149" t="s">
        <v>244</v>
      </c>
      <c r="AN13" s="158"/>
      <c r="AQ13" s="136"/>
      <c r="AS13" s="132"/>
      <c r="AT13" s="132"/>
      <c r="AU13" s="151" t="s">
        <v>169</v>
      </c>
      <c r="AV13" s="138">
        <f>IF(AV$7=0,0,macf(AV$7,6))</f>
        <v>-0.19311614</v>
      </c>
      <c r="AW13" s="132" t="s">
        <v>169</v>
      </c>
      <c r="AX13" s="132">
        <f>IF(AX$7=0,0,macf(AX$7,6))</f>
        <v>0</v>
      </c>
      <c r="AY13" s="151" t="s">
        <v>169</v>
      </c>
      <c r="AZ13" s="138">
        <f>IF(AZ$7=0,0,macf(AZ$7,6))</f>
        <v>0</v>
      </c>
      <c r="BA13" s="154">
        <f t="shared" si="0"/>
        <v>-0.19311614</v>
      </c>
      <c r="BB13" s="132"/>
    </row>
    <row r="14" spans="2:54" ht="13.5">
      <c r="B14" s="34" t="str">
        <f>IF(P=0,"Mx","ey")</f>
        <v>ey</v>
      </c>
      <c r="C14" s="4">
        <v>1.42</v>
      </c>
      <c r="D14" s="21" t="s">
        <v>272</v>
      </c>
      <c r="U14" s="225" t="s">
        <v>148</v>
      </c>
      <c r="V14" s="120">
        <f>X21/Y18</f>
        <v>2.05343618537787</v>
      </c>
      <c r="W14" s="210" t="s">
        <v>4</v>
      </c>
      <c r="X14" s="228">
        <f>macf(U10,9)</f>
        <v>1.2</v>
      </c>
      <c r="Y14" s="229">
        <f>macf(V10,9)</f>
        <v>1.3030834999999998</v>
      </c>
      <c r="Z14" s="229">
        <f>macf(W10,9)/neq</f>
        <v>0.006872233333333334</v>
      </c>
      <c r="AA14" s="210" t="s">
        <v>200</v>
      </c>
      <c r="AB14" s="122" t="s">
        <v>30</v>
      </c>
      <c r="AD14" s="151" t="s">
        <v>110</v>
      </c>
      <c r="AE14" s="138">
        <f>VLOOKUP(fck,tabfck,6)</f>
        <v>3.5</v>
      </c>
      <c r="AI14" s="149" t="s">
        <v>245</v>
      </c>
      <c r="AN14" s="158"/>
      <c r="AQ14" s="136"/>
      <c r="AS14" s="132"/>
      <c r="AT14" s="132"/>
      <c r="AU14" s="151" t="s">
        <v>170</v>
      </c>
      <c r="AV14" s="138">
        <f>IF(AV$7=0,0,macf(AV$7,7))</f>
        <v>0.25042572</v>
      </c>
      <c r="AW14" s="132" t="s">
        <v>170</v>
      </c>
      <c r="AX14" s="132">
        <f>IF(AX$7=0,0,macf(AX$7,7))</f>
        <v>0</v>
      </c>
      <c r="AY14" s="151" t="s">
        <v>170</v>
      </c>
      <c r="AZ14" s="138">
        <f>IF(AZ$7=0,0,macf(AZ$7,7))</f>
        <v>0</v>
      </c>
      <c r="BA14" s="154">
        <f t="shared" si="0"/>
        <v>0.25042572</v>
      </c>
      <c r="BB14" s="132" t="s">
        <v>223</v>
      </c>
    </row>
    <row r="15" spans="2:54" ht="13.5">
      <c r="B15" s="36" t="s">
        <v>17</v>
      </c>
      <c r="C15" s="4">
        <v>1</v>
      </c>
      <c r="D15" s="21" t="s">
        <v>45</v>
      </c>
      <c r="G15" s="108" t="str">
        <f>"Calculs en "&amp;IF(ELU=2,"ELU","ELS")</f>
        <v>Calculs en ELS</v>
      </c>
      <c r="U15" s="225" t="s">
        <v>149</v>
      </c>
      <c r="V15" s="120">
        <f>P/Y14</f>
        <v>0.3084990332545843</v>
      </c>
      <c r="W15" s="210" t="s">
        <v>5</v>
      </c>
      <c r="X15" s="228">
        <f>macf(U10,4)</f>
        <v>0.14400000000000002</v>
      </c>
      <c r="Y15" s="229">
        <f>ABS(macf(V10,4))</f>
        <v>0.1605309</v>
      </c>
      <c r="Z15" s="229">
        <f>ABS(macf(W10,4))/neq</f>
        <v>0.0011020573333333334</v>
      </c>
      <c r="AA15" s="210" t="s">
        <v>63</v>
      </c>
      <c r="AB15" s="122" t="s">
        <v>6</v>
      </c>
      <c r="AD15" s="151" t="s">
        <v>115</v>
      </c>
      <c r="AE15" s="138">
        <f>VLOOKUP(fck,tabfck,8)</f>
        <v>2</v>
      </c>
      <c r="AI15" s="149" t="s">
        <v>99</v>
      </c>
      <c r="AN15" s="158"/>
      <c r="AQ15" s="136"/>
      <c r="AS15" s="132"/>
      <c r="AT15" s="132"/>
      <c r="AU15" s="131" t="str">
        <f>IF(P=0,"Dw","De")</f>
        <v>De</v>
      </c>
      <c r="AV15" s="138">
        <f>IF(AV$7=0,0,macf(AV$7,8))</f>
        <v>1.1341191E-09</v>
      </c>
      <c r="AW15" s="159" t="s">
        <v>219</v>
      </c>
      <c r="AX15" s="132">
        <f>IF(AX$7=0,0,macf(AX$7,8))</f>
        <v>0</v>
      </c>
      <c r="AY15" s="131" t="str">
        <f>IF(P=0,"Dw","De")</f>
        <v>De</v>
      </c>
      <c r="AZ15" s="138">
        <f>IF(AZ$7=0,0,macf(AZ$7,8))</f>
        <v>0</v>
      </c>
      <c r="BA15" s="154">
        <f t="shared" si="0"/>
        <v>1.1341191E-09</v>
      </c>
      <c r="BB15" s="146">
        <f>IF(P=0,BA15,BA15*1000)</f>
        <v>1.1341191E-06</v>
      </c>
    </row>
    <row r="16" spans="2:53" ht="14.25" thickBot="1">
      <c r="B16" s="34" t="s">
        <v>192</v>
      </c>
      <c r="C16" s="4">
        <v>35</v>
      </c>
      <c r="D16" s="21" t="s">
        <v>16</v>
      </c>
      <c r="O16" s="26"/>
      <c r="P16" s="136"/>
      <c r="U16" s="225" t="s">
        <v>151</v>
      </c>
      <c r="V16" s="120">
        <f>IF(V14=0,0,-V13/V14)</f>
        <v>-3.9377526368179447</v>
      </c>
      <c r="W16" s="210" t="s">
        <v>7</v>
      </c>
      <c r="X16" s="228">
        <f>macf(U10,5)</f>
        <v>0.01</v>
      </c>
      <c r="Y16" s="229">
        <f>ABS(macf(V10,5))</f>
        <v>0.11235824</v>
      </c>
      <c r="Z16" s="229">
        <f>ABS(macf(W10,5))/neq</f>
        <v>0.0008238826666666667</v>
      </c>
      <c r="AA16" s="210" t="s">
        <v>63</v>
      </c>
      <c r="AB16" s="122" t="s">
        <v>8</v>
      </c>
      <c r="AD16" s="151" t="s">
        <v>111</v>
      </c>
      <c r="AE16" s="138">
        <f>0.9*AE20</f>
        <v>45</v>
      </c>
      <c r="AI16" s="149" t="s">
        <v>100</v>
      </c>
      <c r="AN16" s="158"/>
      <c r="AQ16" s="136"/>
      <c r="AS16" s="132"/>
      <c r="AT16" s="132"/>
      <c r="AU16" s="151" t="s">
        <v>72</v>
      </c>
      <c r="AV16" s="138">
        <f>IF(AV$7=0,0,macf(AV$7,9))</f>
        <v>0.82128659</v>
      </c>
      <c r="AW16" s="132" t="s">
        <v>72</v>
      </c>
      <c r="AX16" s="132">
        <f>IF(AX$7=0,0,macf(AX$7,9))</f>
        <v>0</v>
      </c>
      <c r="AY16" s="151" t="s">
        <v>72</v>
      </c>
      <c r="AZ16" s="138">
        <f>IF(AZ$7=0,0,macf(AZ$7,9))</f>
        <v>0</v>
      </c>
      <c r="BA16" s="154">
        <f t="shared" si="0"/>
        <v>0.82128659</v>
      </c>
    </row>
    <row r="17" spans="2:53" ht="15" thickBot="1" thickTop="1">
      <c r="B17" s="34" t="s">
        <v>193</v>
      </c>
      <c r="C17" s="5">
        <v>500</v>
      </c>
      <c r="D17" s="21" t="s">
        <v>16</v>
      </c>
      <c r="M17" s="26"/>
      <c r="N17" s="26"/>
      <c r="O17" s="26"/>
      <c r="P17" s="136"/>
      <c r="Q17" s="272">
        <v>6</v>
      </c>
      <c r="R17" s="132">
        <v>6</v>
      </c>
      <c r="U17" s="225" t="s">
        <v>152</v>
      </c>
      <c r="V17" s="120">
        <f>IF(V14=0,0,-V15/V14)</f>
        <v>-0.15023551033694033</v>
      </c>
      <c r="W17" s="210" t="s">
        <v>9</v>
      </c>
      <c r="X17" s="228">
        <f>macf(U10,6)</f>
        <v>0</v>
      </c>
      <c r="Y17" s="229">
        <f>ABS(macf(V10,6))</f>
        <v>2.9452431E-05</v>
      </c>
      <c r="Z17" s="229">
        <f>ABS(macf(W10,6))/neq</f>
        <v>1.9634954E-06</v>
      </c>
      <c r="AA17" s="210" t="s">
        <v>63</v>
      </c>
      <c r="AB17" s="122" t="s">
        <v>10</v>
      </c>
      <c r="AD17" s="151" t="s">
        <v>112</v>
      </c>
      <c r="AE17" s="138">
        <f>IF(I23=1,1,-1)*fyk/200/gs</f>
        <v>1.5</v>
      </c>
      <c r="AI17" s="149" t="s">
        <v>101</v>
      </c>
      <c r="AN17" s="158"/>
      <c r="AQ17" s="136"/>
      <c r="AS17" s="132"/>
      <c r="AT17" s="132"/>
      <c r="AU17" s="151" t="str">
        <f>IF(ELU=1,"scsup","epshaut")</f>
        <v>scsup</v>
      </c>
      <c r="AV17" s="138">
        <f>IF(AV$7=0,0,macf(AV$7,10))</f>
        <v>9.6295872</v>
      </c>
      <c r="AW17" s="132" t="s">
        <v>88</v>
      </c>
      <c r="AX17" s="132">
        <f>IF(AX$7=0,0,macf(AX$7,10))</f>
        <v>0</v>
      </c>
      <c r="AY17" s="151" t="s">
        <v>121</v>
      </c>
      <c r="AZ17" s="138">
        <f>IF(AZ$7=0,0,macf(AZ$7,10))</f>
        <v>0</v>
      </c>
      <c r="BA17" s="154">
        <f t="shared" si="0"/>
        <v>9.6295872</v>
      </c>
    </row>
    <row r="18" spans="1:53" ht="15" thickBot="1" thickTop="1">
      <c r="A18" s="38"/>
      <c r="B18" s="39" t="s">
        <v>216</v>
      </c>
      <c r="C18" s="40"/>
      <c r="D18" s="40"/>
      <c r="E18" s="40"/>
      <c r="F18" s="40"/>
      <c r="G18" s="41"/>
      <c r="H18" s="42" t="s">
        <v>217</v>
      </c>
      <c r="I18" s="43"/>
      <c r="J18" s="44"/>
      <c r="K18" s="44"/>
      <c r="L18" s="44"/>
      <c r="M18" s="45"/>
      <c r="Q18" s="273">
        <v>4</v>
      </c>
      <c r="R18" s="132">
        <v>12</v>
      </c>
      <c r="U18" s="121" t="s">
        <v>177</v>
      </c>
      <c r="V18" s="229"/>
      <c r="W18" s="210" t="s">
        <v>11</v>
      </c>
      <c r="X18" s="228">
        <f>macf(U10,7)</f>
        <v>0.14400000000000002</v>
      </c>
      <c r="Y18" s="229">
        <f>ABS(macf(V10,7))</f>
        <v>0.16053092</v>
      </c>
      <c r="Z18" s="229">
        <f>ABS(macf(W10,7))/neq</f>
        <v>0.0011020711999999999</v>
      </c>
      <c r="AA18" s="210" t="s">
        <v>63</v>
      </c>
      <c r="AB18" s="122" t="s">
        <v>12</v>
      </c>
      <c r="AD18" s="151" t="s">
        <v>113</v>
      </c>
      <c r="AE18" s="138">
        <f>VLOOKUP(fck,tabfck,3)</f>
        <v>34</v>
      </c>
      <c r="AI18" s="160" t="s">
        <v>102</v>
      </c>
      <c r="AJ18" s="161"/>
      <c r="AK18" s="161"/>
      <c r="AL18" s="161"/>
      <c r="AM18" s="161"/>
      <c r="AN18" s="162"/>
      <c r="AQ18" s="136"/>
      <c r="AS18" s="132"/>
      <c r="AT18" s="132"/>
      <c r="AU18" s="151" t="str">
        <f>IF(ELU=1,"ssinf","epsbas")</f>
        <v>ssinf</v>
      </c>
      <c r="AV18" s="138">
        <f>IF(AV$7=0,0,macf(AV$7,11))</f>
        <v>-300</v>
      </c>
      <c r="AW18" s="132" t="s">
        <v>89</v>
      </c>
      <c r="AX18" s="132">
        <f>IF(AX$7=0,0,macf(AX$7,11))</f>
        <v>0</v>
      </c>
      <c r="AY18" s="151" t="s">
        <v>122</v>
      </c>
      <c r="AZ18" s="138">
        <f>IF(AZ$7=0,0,macf(AZ$7,11))</f>
        <v>0</v>
      </c>
      <c r="BA18" s="154">
        <f t="shared" si="0"/>
        <v>-300</v>
      </c>
    </row>
    <row r="19" spans="1:53" ht="15" thickBot="1" thickTop="1">
      <c r="A19" s="38"/>
      <c r="B19" s="102" t="s">
        <v>140</v>
      </c>
      <c r="C19" s="3">
        <v>15</v>
      </c>
      <c r="D19" s="46" t="str">
        <f>IF(ELU=2,"","contrainte limite béton en ELS (MPa)")</f>
        <v>contrainte limite béton en ELS (MPa)</v>
      </c>
      <c r="E19" s="46"/>
      <c r="F19" s="46"/>
      <c r="G19" s="47"/>
      <c r="H19" s="48" t="str">
        <f>IF(ELU=1,"fcd ELS","Type")</f>
        <v>fcd ELS</v>
      </c>
      <c r="I19" s="3">
        <v>1</v>
      </c>
      <c r="J19" s="294">
        <f>IF(ELU=1,"","Courbe béton (1=PR, 2=EC2 Sargin eq. 3.14)")</f>
      </c>
      <c r="K19" s="49"/>
      <c r="L19" s="49"/>
      <c r="M19" s="50"/>
      <c r="Q19" s="274">
        <v>4</v>
      </c>
      <c r="R19" s="132">
        <v>18</v>
      </c>
      <c r="U19" s="225" t="s">
        <v>179</v>
      </c>
      <c r="V19" s="120">
        <f>V17</f>
        <v>-0.15023551033694033</v>
      </c>
      <c r="W19" s="210" t="s">
        <v>13</v>
      </c>
      <c r="X19" s="228">
        <f>macf(U10,8)</f>
        <v>0.01</v>
      </c>
      <c r="Y19" s="229">
        <f>ABS(macf(V10,8))</f>
        <v>0.11235822000000001</v>
      </c>
      <c r="Z19" s="229">
        <f>ABS(macf(W10,8))/neq</f>
        <v>0.0008238688000000001</v>
      </c>
      <c r="AA19" s="210" t="s">
        <v>63</v>
      </c>
      <c r="AB19" s="122" t="s">
        <v>14</v>
      </c>
      <c r="AD19" s="151" t="s">
        <v>114</v>
      </c>
      <c r="AE19" s="138">
        <f>IF(I22="A",1.05,IF(I22="B",1.08,IF(I22="D",1,1.15)))</f>
        <v>1.08</v>
      </c>
      <c r="AQ19" s="136"/>
      <c r="AS19" s="132"/>
      <c r="AT19" s="132"/>
      <c r="AU19" s="151" t="s">
        <v>209</v>
      </c>
      <c r="AV19" s="138">
        <f>IF(AV$7=0,0,macf(AV$7,12))</f>
        <v>0.35603191</v>
      </c>
      <c r="AW19" s="132" t="s">
        <v>119</v>
      </c>
      <c r="AX19" s="132">
        <f>IF(AX$7=0,0,macf(AX$7,12))</f>
        <v>0</v>
      </c>
      <c r="AY19" s="151" t="s">
        <v>119</v>
      </c>
      <c r="AZ19" s="138">
        <f>IF(AZ$7=0,0,macf(AZ$7,12))</f>
        <v>0</v>
      </c>
      <c r="BA19" s="154">
        <f>CHOOSE(cas,AT19,AV19,AX19,AZ19)</f>
        <v>0.35603191</v>
      </c>
    </row>
    <row r="20" spans="1:53" ht="15" thickBot="1" thickTop="1">
      <c r="A20" s="38"/>
      <c r="B20" s="102" t="s">
        <v>227</v>
      </c>
      <c r="C20" s="4">
        <v>300</v>
      </c>
      <c r="D20" s="46" t="str">
        <f>IF(ELU=2,"","contrainte limite acier en ELS (MPa)")</f>
        <v>contrainte limite acier en ELS (MPa)</v>
      </c>
      <c r="E20" s="46"/>
      <c r="F20" s="46"/>
      <c r="G20" s="47"/>
      <c r="H20" s="51" t="s">
        <v>213</v>
      </c>
      <c r="I20" s="4">
        <v>1.5</v>
      </c>
      <c r="J20" s="49">
        <f>IF(ELU=1,"","Coeff. béton")</f>
      </c>
      <c r="K20" s="49"/>
      <c r="L20" s="49"/>
      <c r="M20" s="52"/>
      <c r="U20" s="230" t="s">
        <v>178</v>
      </c>
      <c r="V20" s="123">
        <f>IF(V13=0,0,-V15/V13)</f>
        <v>-0.038152602307275456</v>
      </c>
      <c r="W20" s="231" t="s">
        <v>15</v>
      </c>
      <c r="X20" s="232"/>
      <c r="Y20" s="233">
        <f>SUM(L45:L76)</f>
        <v>68.72233929727672</v>
      </c>
      <c r="Z20" s="233">
        <f>Y20</f>
        <v>68.72233929727672</v>
      </c>
      <c r="AA20" s="210" t="s">
        <v>201</v>
      </c>
      <c r="AB20" s="122" t="s">
        <v>31</v>
      </c>
      <c r="AD20" s="151" t="s">
        <v>104</v>
      </c>
      <c r="AE20" s="138">
        <f>IF(I22="A",25,IF(I22="B",50,75))</f>
        <v>50</v>
      </c>
      <c r="AK20" s="129" t="s">
        <v>247</v>
      </c>
      <c r="AQ20" s="136"/>
      <c r="AS20" s="132"/>
      <c r="AT20" s="132"/>
      <c r="AU20" s="151" t="s">
        <v>210</v>
      </c>
      <c r="AV20" s="138">
        <f>IF(AV$7=0,0,macf(AV$7,13))</f>
        <v>-0.85688336</v>
      </c>
      <c r="AW20" s="132" t="s">
        <v>120</v>
      </c>
      <c r="AX20" s="132">
        <f>IF(AX$7=0,0,macf(AX$7,13))</f>
        <v>0</v>
      </c>
      <c r="AY20" s="151" t="s">
        <v>120</v>
      </c>
      <c r="AZ20" s="138">
        <f>IF(AZ$7=0,0,macf(AZ$7,13))</f>
        <v>0</v>
      </c>
      <c r="BA20" s="154">
        <f>CHOOSE(cas,AT20,AV20,AX20,-AZ20)</f>
        <v>-0.85688336</v>
      </c>
    </row>
    <row r="21" spans="1:54" ht="15" thickBot="1" thickTop="1">
      <c r="A21" s="38"/>
      <c r="B21" s="248" t="s">
        <v>232</v>
      </c>
      <c r="C21" s="106">
        <v>15</v>
      </c>
      <c r="D21" s="46" t="str">
        <f>IF(ELU=2,"","coefficient d'équivalence ")</f>
        <v>coefficient d'équivalence </v>
      </c>
      <c r="E21" s="46"/>
      <c r="F21" s="46"/>
      <c r="G21" s="47"/>
      <c r="H21" s="51" t="s">
        <v>214</v>
      </c>
      <c r="I21" s="4">
        <v>1.15</v>
      </c>
      <c r="J21" s="49">
        <f>IF(ELU=1,"","Coeff. acier")</f>
      </c>
      <c r="K21" s="49"/>
      <c r="L21" s="49"/>
      <c r="M21" s="52"/>
      <c r="Q21" s="272">
        <v>0.92</v>
      </c>
      <c r="R21" s="132">
        <v>2.327</v>
      </c>
      <c r="T21" s="234">
        <f>V21*180/PI()</f>
        <v>-75.75084431584284</v>
      </c>
      <c r="U21" s="235" t="s">
        <v>81</v>
      </c>
      <c r="V21" s="236">
        <f>IF(ABS(V13)&gt;ABS(V14),-(PI()/2-ATAN(V14/V13)),-ATAN(V13/V14))</f>
        <v>-1.322101644477089</v>
      </c>
      <c r="W21" s="210" t="s">
        <v>161</v>
      </c>
      <c r="X21" s="228">
        <f>D37</f>
        <v>0.32964</v>
      </c>
      <c r="Y21" s="120"/>
      <c r="Z21" s="120"/>
      <c r="AA21" s="210" t="s">
        <v>163</v>
      </c>
      <c r="AB21" s="222" t="s">
        <v>164</v>
      </c>
      <c r="AD21" s="151" t="s">
        <v>116</v>
      </c>
      <c r="AE21" s="138">
        <f>IF(typ=1,ecc2,ecc1)</f>
        <v>2</v>
      </c>
      <c r="AK21" s="129" t="s">
        <v>160</v>
      </c>
      <c r="AR21" s="157"/>
      <c r="AS21" s="132" t="s">
        <v>75</v>
      </c>
      <c r="AT21" s="132">
        <f>IF(ELU=1,IF(AS59&gt;=0,1,-1),0)</f>
        <v>-1</v>
      </c>
      <c r="AU21" s="151" t="s">
        <v>76</v>
      </c>
      <c r="AV21" s="138">
        <f>IF(AT21=-1,2,0)</f>
        <v>2</v>
      </c>
      <c r="AW21" s="132" t="s">
        <v>73</v>
      </c>
      <c r="AX21" s="132">
        <f>IF(ELU=1,0,IF(AX24&lt;=0,-3,IF(P=0,-3,3)))</f>
        <v>0</v>
      </c>
      <c r="AY21" s="151" t="s">
        <v>77</v>
      </c>
      <c r="AZ21" s="138">
        <f>IF(AX21=-3,4,0)</f>
        <v>0</v>
      </c>
      <c r="BA21" s="152">
        <f>MAX(AS21:AZ21)</f>
        <v>2</v>
      </c>
      <c r="BB21" s="132"/>
    </row>
    <row r="22" spans="1:53" ht="12.75" thickTop="1">
      <c r="A22" s="38"/>
      <c r="B22" s="53"/>
      <c r="C22" s="54"/>
      <c r="D22" s="55" t="str">
        <f>IF(ELU=2,"","      (par exemple "&amp;ROUND(T5,2)&amp;" ou 15)")</f>
        <v>      (par exemple 5,88 ou 15)</v>
      </c>
      <c r="E22" s="54"/>
      <c r="F22" s="54"/>
      <c r="G22" s="56"/>
      <c r="H22" s="57">
        <f>IF(ELU=1,"","classe")</f>
      </c>
      <c r="I22" s="4" t="s">
        <v>238</v>
      </c>
      <c r="J22" s="58">
        <f>IF(ELU=1,"","Classe acier (A, B, C ou à palier D)")</f>
      </c>
      <c r="K22" s="58"/>
      <c r="L22" s="58"/>
      <c r="M22" s="59"/>
      <c r="Q22" s="273">
        <f>0*0.67</f>
        <v>0</v>
      </c>
      <c r="R22" s="132">
        <v>0.52</v>
      </c>
      <c r="U22" s="225" t="s">
        <v>82</v>
      </c>
      <c r="V22" s="229">
        <f>SIN(V21)</f>
        <v>-0.9692345369389395</v>
      </c>
      <c r="W22" s="210" t="s">
        <v>162</v>
      </c>
      <c r="X22" s="237">
        <f>D38</f>
        <v>0.90852</v>
      </c>
      <c r="Y22" s="123"/>
      <c r="Z22" s="123"/>
      <c r="AA22" s="210" t="s">
        <v>163</v>
      </c>
      <c r="AB22" s="222" t="s">
        <v>165</v>
      </c>
      <c r="AD22" s="151" t="s">
        <v>117</v>
      </c>
      <c r="AE22" s="138">
        <f>IF(typ=1,ecu2,ecu1)</f>
        <v>3.5</v>
      </c>
      <c r="AK22" s="129" t="s">
        <v>145</v>
      </c>
      <c r="AS22" s="132"/>
      <c r="AT22" s="132"/>
      <c r="AU22" s="151" t="s">
        <v>208</v>
      </c>
      <c r="AV22" s="138">
        <f>IF(AV$7=0,0,macf(AV$7,14))</f>
        <v>-0.73945415</v>
      </c>
      <c r="AW22" s="132" t="s">
        <v>74</v>
      </c>
      <c r="AX22" s="132">
        <f>ecc12</f>
        <v>2</v>
      </c>
      <c r="AY22" s="151" t="str">
        <f>AU22</f>
        <v>d acier</v>
      </c>
      <c r="AZ22" s="138">
        <f>IF(AZ$7=0,0,macf(AZ$7,14))</f>
        <v>0</v>
      </c>
      <c r="BA22" s="154">
        <f>CHOOSE(cas,AT22,-AV22,AX22,-AZ22)</f>
        <v>0.73945415</v>
      </c>
    </row>
    <row r="23" spans="2:53" ht="12.75" thickBot="1">
      <c r="B23" s="36"/>
      <c r="C23" s="111"/>
      <c r="D23" s="109"/>
      <c r="E23" s="110"/>
      <c r="G23" s="20"/>
      <c r="I23" s="5">
        <v>1</v>
      </c>
      <c r="J23" s="299" t="s">
        <v>273</v>
      </c>
      <c r="N23" s="26"/>
      <c r="O23" s="26"/>
      <c r="P23" s="136"/>
      <c r="Q23" s="273">
        <f>0.55+0*1.05</f>
        <v>0.55</v>
      </c>
      <c r="R23" s="132">
        <v>0.786</v>
      </c>
      <c r="U23" s="225" t="s">
        <v>83</v>
      </c>
      <c r="V23" s="229">
        <f>IF(ABS(COS(V21))&lt;0.0000001,0,COS(V21))</f>
        <v>0.2461390103270092</v>
      </c>
      <c r="W23" s="122" t="s">
        <v>252</v>
      </c>
      <c r="X23" s="122">
        <f>macf(U10,3)</f>
        <v>0</v>
      </c>
      <c r="Z23" s="122"/>
      <c r="AA23" s="122"/>
      <c r="AB23" s="210"/>
      <c r="AD23" s="163" t="s">
        <v>105</v>
      </c>
      <c r="AE23" s="165">
        <f>VLOOKUP(fck,tabfck,9)</f>
        <v>4.462500000000001</v>
      </c>
      <c r="AK23" s="128" t="s">
        <v>207</v>
      </c>
      <c r="AL23" s="129">
        <f>BA11</f>
        <v>-1.3764592</v>
      </c>
      <c r="AQ23" s="129" t="s">
        <v>222</v>
      </c>
      <c r="AS23" s="132"/>
      <c r="AT23" s="132"/>
      <c r="AU23" s="132" t="s">
        <v>87</v>
      </c>
      <c r="AV23" s="166">
        <f>AV11*180/PI()</f>
        <v>-78.86530283195368</v>
      </c>
      <c r="AW23" s="132" t="s">
        <v>87</v>
      </c>
      <c r="AX23" s="132">
        <f>AX11*180/PI()</f>
        <v>0</v>
      </c>
      <c r="AY23" s="132" t="s">
        <v>87</v>
      </c>
      <c r="AZ23" s="132">
        <f>AZ11*180/PI()</f>
        <v>0</v>
      </c>
      <c r="BA23" s="154">
        <f>CHOOSE(cas,AT23,AV23,AX23,AZ23)</f>
        <v>-78.86530283195368</v>
      </c>
    </row>
    <row r="24" spans="1:58" ht="12.75" thickTop="1">
      <c r="A24" s="60" t="s">
        <v>32</v>
      </c>
      <c r="B24" s="36"/>
      <c r="C24" s="61"/>
      <c r="G24" s="20"/>
      <c r="N24" s="26"/>
      <c r="O24" s="26"/>
      <c r="P24" s="136"/>
      <c r="Q24" s="273">
        <v>2</v>
      </c>
      <c r="R24" s="132">
        <v>2</v>
      </c>
      <c r="U24" s="225" t="s">
        <v>153</v>
      </c>
      <c r="V24" s="120">
        <f>V15/SQRT(V13^2+V14^2)</f>
        <v>0.03697881983030764</v>
      </c>
      <c r="W24" s="238"/>
      <c r="X24" s="238"/>
      <c r="Y24" s="238"/>
      <c r="Z24" s="238"/>
      <c r="AA24" s="238"/>
      <c r="AB24" s="238"/>
      <c r="AH24" s="136"/>
      <c r="AI24" s="136"/>
      <c r="AK24" s="128" t="s">
        <v>206</v>
      </c>
      <c r="AL24" s="167">
        <f>AL23*180/PI()</f>
        <v>-78.86530283195368</v>
      </c>
      <c r="AQ24" s="147" t="s">
        <v>2</v>
      </c>
      <c r="AR24" s="148"/>
      <c r="AS24" s="168" t="s">
        <v>3</v>
      </c>
      <c r="AT24" s="169"/>
      <c r="AU24" s="163"/>
      <c r="AV24" s="165"/>
      <c r="AW24" s="170" t="s">
        <v>86</v>
      </c>
      <c r="AX24" s="170">
        <f>IF(P=0,-1,IF(AX$7=0,0,macf(AX$7,19)))</f>
        <v>0</v>
      </c>
      <c r="AY24" s="163"/>
      <c r="AZ24" s="138"/>
      <c r="BA24" s="171" t="s">
        <v>84</v>
      </c>
      <c r="BB24" s="148"/>
      <c r="BC24" s="136"/>
      <c r="BD24" s="136"/>
      <c r="BE24" s="26"/>
      <c r="BF24" s="26"/>
    </row>
    <row r="25" spans="2:58" ht="12">
      <c r="B25" s="36"/>
      <c r="C25" s="61"/>
      <c r="G25" s="20"/>
      <c r="N25" s="26"/>
      <c r="O25" s="26"/>
      <c r="P25" s="136"/>
      <c r="Q25" s="273">
        <f>25</f>
        <v>25</v>
      </c>
      <c r="R25" s="132">
        <v>25</v>
      </c>
      <c r="U25" s="225" t="s">
        <v>147</v>
      </c>
      <c r="V25" s="120">
        <f>sint</f>
        <v>-0.9692345369389395</v>
      </c>
      <c r="W25" s="238"/>
      <c r="X25" s="238"/>
      <c r="Y25" s="238"/>
      <c r="Z25" s="238"/>
      <c r="AA25" s="238"/>
      <c r="AB25" s="238"/>
      <c r="AH25" s="136"/>
      <c r="AI25" s="136"/>
      <c r="AK25" s="128" t="s">
        <v>170</v>
      </c>
      <c r="AL25" s="129">
        <f>BA14</f>
        <v>0.25042572</v>
      </c>
      <c r="AQ25" s="172" t="s">
        <v>166</v>
      </c>
      <c r="AR25" s="146" t="s">
        <v>167</v>
      </c>
      <c r="AS25" s="163" t="s">
        <v>166</v>
      </c>
      <c r="AT25" s="164" t="s">
        <v>167</v>
      </c>
      <c r="AU25" s="172" t="s">
        <v>166</v>
      </c>
      <c r="AV25" s="146" t="s">
        <v>167</v>
      </c>
      <c r="AW25" s="172" t="s">
        <v>166</v>
      </c>
      <c r="AX25" s="146" t="s">
        <v>167</v>
      </c>
      <c r="AY25" s="172" t="s">
        <v>166</v>
      </c>
      <c r="AZ25" s="146" t="s">
        <v>167</v>
      </c>
      <c r="BA25" s="133" t="s">
        <v>166</v>
      </c>
      <c r="BB25" s="146" t="s">
        <v>167</v>
      </c>
      <c r="BC25" s="136"/>
      <c r="BD25" s="136"/>
      <c r="BE25" s="26"/>
      <c r="BF25" s="26"/>
    </row>
    <row r="26" spans="1:58" ht="12">
      <c r="A26" s="63" t="s">
        <v>205</v>
      </c>
      <c r="B26" s="23"/>
      <c r="C26" s="23"/>
      <c r="G26" s="64"/>
      <c r="H26" s="113" t="s">
        <v>59</v>
      </c>
      <c r="I26" s="65" t="str">
        <f>"béton + "&amp;ROUND(neq,2)&amp;" x aciers"</f>
        <v>béton + 15 x aciers</v>
      </c>
      <c r="J26" s="80"/>
      <c r="K26" s="33"/>
      <c r="N26" s="26"/>
      <c r="O26" s="26"/>
      <c r="P26" s="136"/>
      <c r="Q26" s="273">
        <v>500</v>
      </c>
      <c r="R26" s="132">
        <v>500</v>
      </c>
      <c r="U26" s="225" t="s">
        <v>148</v>
      </c>
      <c r="V26" s="120">
        <f>-cost</f>
        <v>-0.2461390103270092</v>
      </c>
      <c r="W26" s="238"/>
      <c r="X26" s="238"/>
      <c r="Y26" s="238"/>
      <c r="Z26" s="238"/>
      <c r="AA26" s="238"/>
      <c r="AB26" s="238"/>
      <c r="AH26" s="136"/>
      <c r="AI26" s="136"/>
      <c r="AK26" s="128" t="s">
        <v>168</v>
      </c>
      <c r="AL26" s="129">
        <f>SIN(AL23)</f>
        <v>-0.9811758966476435</v>
      </c>
      <c r="AP26" s="129">
        <v>1</v>
      </c>
      <c r="AQ26" s="173">
        <f>IF(A45&gt;Nb,0,P/X$14+X$21/X$18*E45+X$22/X$19*D45)</f>
        <v>-46.4645</v>
      </c>
      <c r="AR26" s="174">
        <f>IF(A45&gt;Na,0,(P/X$14+X$21/X$18*K45+X$22/X$19*J45)*neq)</f>
        <v>-557.25575</v>
      </c>
      <c r="AS26" s="173">
        <f>IF(A45&gt;Nb,0,P/Y$14+X$21/Y$18*E45+X$22/Y$19*D45)</f>
        <v>-4.966524554726682</v>
      </c>
      <c r="AT26" s="173">
        <f>IF(A45&gt;Na,0,(P/Y$14+X$21/Y$18*K45+X$22/Y$19*J45)*neq)</f>
        <v>-59.2888284125698</v>
      </c>
      <c r="AU26" s="175">
        <f>IF(AV$21=2,sigcPT(ELU,D45,E45,AV$12,AV$13,AV$14,AV$19,AV$17,ecc12,typ,fck,gc,ecu,kc,nc),0)</f>
        <v>0</v>
      </c>
      <c r="AV26" s="176">
        <f>IF(AV$21=2,sigsPT(ELU,J45,K45,AV$12,AV$13,AV$14,AV$22,AV$18,fyk,gs,ks,euk,eso),0)</f>
        <v>-300</v>
      </c>
      <c r="AW26" s="175">
        <f>IF(AX$21=3,sigcEC($D45,$E45,AX$12,AX$13,AX$14,AX$20,AX$17,AX$22,typ,fck,gc,ecu,kc,nc),0)</f>
        <v>0</v>
      </c>
      <c r="AX26" s="176">
        <f aca="true" t="shared" si="1" ref="AX26:AX57">IF(AX$21=3,sigsEC($J45,$K45,AX$12,AX$13,AX$14,AX$20,AX$17,AX$22,fyk,gs,ks,euk,eso),0)</f>
        <v>0</v>
      </c>
      <c r="AY26" s="175">
        <f aca="true" t="shared" si="2" ref="AY26:AY57">IF(cas=4,sigcPT(ELU,D45,E45,AZ$12,AZ$13,AZ$14,AZ$19,AZ$17,ecc12,typ,fck,gc,ecu,kc,nc),0)</f>
        <v>0</v>
      </c>
      <c r="AZ26" s="176">
        <f aca="true" t="shared" si="3" ref="AZ26:AZ57">IF(cas=4,sigsPT(ELU,J45,K45,AZ$12,AZ$13,AZ$14,AZ$22,AZ$18,fyk,gs,ks,euk,eso),0)</f>
        <v>0</v>
      </c>
      <c r="BA26" s="177">
        <f aca="true" t="shared" si="4" ref="BA26:BA57">IF(A45&lt;Nb+1,CHOOSE(cas,AS26,AU26,AW26,AY26),"")</f>
        <v>0</v>
      </c>
      <c r="BB26" s="177">
        <f aca="true" t="shared" si="5" ref="BB26:BB57">IF(A45&lt;Na+1,CHOOSE(cas,AT26,AV26,AX26,AZ26),"")</f>
        <v>-300</v>
      </c>
      <c r="BC26" s="136"/>
      <c r="BD26" s="136"/>
      <c r="BE26" s="26"/>
      <c r="BF26" s="26"/>
    </row>
    <row r="27" spans="1:58" ht="13.5">
      <c r="A27" s="24" t="s">
        <v>198</v>
      </c>
      <c r="B27" s="66">
        <f>xg</f>
        <v>0.5</v>
      </c>
      <c r="C27" s="23" t="s">
        <v>187</v>
      </c>
      <c r="G27" s="20" t="s">
        <v>60</v>
      </c>
      <c r="H27" s="291">
        <f>X14</f>
        <v>1.2</v>
      </c>
      <c r="I27" s="291">
        <f>Y14</f>
        <v>1.3030834999999998</v>
      </c>
      <c r="J27" s="21" t="s">
        <v>200</v>
      </c>
      <c r="U27" s="230" t="s">
        <v>149</v>
      </c>
      <c r="V27" s="123">
        <f>V24</f>
        <v>0.03697881983030764</v>
      </c>
      <c r="W27" s="238"/>
      <c r="X27" s="238"/>
      <c r="Z27" s="122"/>
      <c r="AA27" s="238"/>
      <c r="AB27" s="238"/>
      <c r="AD27" s="132"/>
      <c r="AK27" s="128" t="s">
        <v>169</v>
      </c>
      <c r="AL27" s="129">
        <f>IF(ABS(COS(AL23))&lt;0.0000001,0,-COS(AL23))</f>
        <v>-0.19311618222638086</v>
      </c>
      <c r="AP27" s="129">
        <v>2</v>
      </c>
      <c r="AQ27" s="176">
        <f aca="true" t="shared" si="6" ref="AQ27:AQ57">IF(A46&gt;Nb,0,P/X$14+X$21/X$18*E46+X$22/X$19*D46)</f>
        <v>-43.7175</v>
      </c>
      <c r="AR27" s="174">
        <f aca="true" t="shared" si="7" ref="AR27:AR57">IF(A46&gt;Na,0,(P/X$14+X$21/X$18*K46+X$22/X$19*J46)*neq)</f>
        <v>-202.93295</v>
      </c>
      <c r="AS27" s="176">
        <f aca="true" t="shared" si="8" ref="AS27:AS57">IF(A46&gt;Nb,0,P/Y$14+X$21/Y$18*E46+X$22/Y$19*D46)</f>
        <v>-2.5024011322732385</v>
      </c>
      <c r="AT27" s="176">
        <f aca="true" t="shared" si="9" ref="AT27:AT57">IF(A46&gt;Na,0,(P/Y$14+X$21/Y$18*K46+X$22/Y$19*J46)*neq)</f>
        <v>-27.753725773884348</v>
      </c>
      <c r="AU27" s="175">
        <f aca="true" t="shared" si="10" ref="AU27:AU57">IF(AV$21=2,sigcPT(ELU,D46,E46,AV$12,AV$13,AV$14,AV$19,AV$17,ecc12,typ,fck,gc,ecu,kc,nc),0)</f>
        <v>0</v>
      </c>
      <c r="AV27" s="176">
        <f aca="true" t="shared" si="11" ref="AV27:AV57">IF(AV$21=2,sigsPT(ELU,J46,K46,AV$12,AV$13,AV$14,AV$22,AV$18,fyk,gs,ks,euk,eso),0)</f>
        <v>-196.50241302993564</v>
      </c>
      <c r="AW27" s="175">
        <f aca="true" t="shared" si="12" ref="AW27:AW57">IF(AX$21=3,sigcEC($D46,$E46,AX$12,AX$13,AX$14,AX$20,AX$17,AX$22,typ,fck,gc,ecu,kc,nc),0)</f>
        <v>0</v>
      </c>
      <c r="AX27" s="176">
        <f t="shared" si="1"/>
        <v>0</v>
      </c>
      <c r="AY27" s="175">
        <f t="shared" si="2"/>
        <v>0</v>
      </c>
      <c r="AZ27" s="176">
        <f t="shared" si="3"/>
        <v>0</v>
      </c>
      <c r="BA27" s="175">
        <f t="shared" si="4"/>
        <v>0</v>
      </c>
      <c r="BB27" s="175">
        <f t="shared" si="5"/>
        <v>-196.50241302993564</v>
      </c>
      <c r="BC27" s="136"/>
      <c r="BD27" s="136"/>
      <c r="BE27" s="26"/>
      <c r="BF27" s="26"/>
    </row>
    <row r="28" spans="1:58" ht="13.5">
      <c r="A28" s="24" t="s">
        <v>199</v>
      </c>
      <c r="B28" s="67">
        <f>yg</f>
        <v>0.6</v>
      </c>
      <c r="C28" s="23" t="s">
        <v>187</v>
      </c>
      <c r="G28" s="36" t="s">
        <v>61</v>
      </c>
      <c r="H28" s="292">
        <f>X18</f>
        <v>0.14400000000000002</v>
      </c>
      <c r="I28" s="292">
        <f>Y18</f>
        <v>0.16053092</v>
      </c>
      <c r="J28" s="21" t="s">
        <v>63</v>
      </c>
      <c r="Q28" s="273">
        <v>2</v>
      </c>
      <c r="R28" s="132">
        <v>1</v>
      </c>
      <c r="AD28" s="132"/>
      <c r="AJ28" s="136"/>
      <c r="AK28" s="128" t="s">
        <v>170</v>
      </c>
      <c r="AL28" s="129">
        <f>AL25</f>
        <v>0.25042572</v>
      </c>
      <c r="AP28" s="129">
        <v>3</v>
      </c>
      <c r="AQ28" s="176">
        <f t="shared" si="6"/>
        <v>47.1345</v>
      </c>
      <c r="AR28" s="174">
        <f t="shared" si="7"/>
        <v>178.64545000000004</v>
      </c>
      <c r="AS28" s="176">
        <f t="shared" si="8"/>
        <v>5.583522621235851</v>
      </c>
      <c r="AT28" s="176">
        <f t="shared" si="9"/>
        <v>6.207153990853827</v>
      </c>
      <c r="AU28" s="175">
        <f t="shared" si="10"/>
        <v>9.62958730818791</v>
      </c>
      <c r="AV28" s="176">
        <f t="shared" si="11"/>
        <v>-85.04347321602022</v>
      </c>
      <c r="AW28" s="175">
        <f t="shared" si="12"/>
        <v>0</v>
      </c>
      <c r="AX28" s="176">
        <f t="shared" si="1"/>
        <v>0</v>
      </c>
      <c r="AY28" s="175">
        <f t="shared" si="2"/>
        <v>0</v>
      </c>
      <c r="AZ28" s="176">
        <f t="shared" si="3"/>
        <v>0</v>
      </c>
      <c r="BA28" s="175">
        <f t="shared" si="4"/>
        <v>9.62958730818791</v>
      </c>
      <c r="BB28" s="175">
        <f t="shared" si="5"/>
        <v>-85.04347321602022</v>
      </c>
      <c r="BC28" s="136"/>
      <c r="BD28" s="136"/>
      <c r="BE28" s="26"/>
      <c r="BF28" s="26"/>
    </row>
    <row r="29" spans="1:58" ht="13.5">
      <c r="A29" s="24" t="s">
        <v>29</v>
      </c>
      <c r="B29" s="68">
        <f>phi</f>
        <v>0</v>
      </c>
      <c r="C29" s="23" t="s">
        <v>206</v>
      </c>
      <c r="G29" s="36" t="s">
        <v>62</v>
      </c>
      <c r="H29" s="292">
        <f>X19</f>
        <v>0.01</v>
      </c>
      <c r="I29" s="292">
        <f>Y19</f>
        <v>0.11235822000000001</v>
      </c>
      <c r="J29" s="21" t="s">
        <v>63</v>
      </c>
      <c r="Q29" s="273">
        <v>1.5</v>
      </c>
      <c r="R29" s="132">
        <f>1.5/0.85</f>
        <v>1.7647058823529411</v>
      </c>
      <c r="AD29" s="128"/>
      <c r="AF29" s="130"/>
      <c r="AJ29" s="136"/>
      <c r="AK29" s="128" t="s">
        <v>151</v>
      </c>
      <c r="AL29" s="129">
        <f>IF(AL23=PI()/2,0,IF(AL23=-PI()/2,0,TAN(AL23)))</f>
        <v>-5.080754421177703</v>
      </c>
      <c r="AM29" s="136"/>
      <c r="AN29" s="136"/>
      <c r="AO29" s="136"/>
      <c r="AP29" s="129">
        <v>4</v>
      </c>
      <c r="AQ29" s="176">
        <f t="shared" si="6"/>
        <v>44.3875</v>
      </c>
      <c r="AR29" s="174">
        <f t="shared" si="7"/>
        <v>532.96825</v>
      </c>
      <c r="AS29" s="176">
        <f t="shared" si="8"/>
        <v>3.119399198782407</v>
      </c>
      <c r="AT29" s="176">
        <f t="shared" si="9"/>
        <v>37.74225662953928</v>
      </c>
      <c r="AU29" s="175">
        <f t="shared" si="10"/>
        <v>3.361737744285368</v>
      </c>
      <c r="AV29" s="176">
        <f t="shared" si="11"/>
        <v>18.454113754044116</v>
      </c>
      <c r="AW29" s="175">
        <f t="shared" si="12"/>
        <v>0</v>
      </c>
      <c r="AX29" s="176">
        <f t="shared" si="1"/>
        <v>0</v>
      </c>
      <c r="AY29" s="175">
        <f t="shared" si="2"/>
        <v>0</v>
      </c>
      <c r="AZ29" s="176">
        <f t="shared" si="3"/>
        <v>0</v>
      </c>
      <c r="BA29" s="175">
        <f t="shared" si="4"/>
        <v>3.361737744285368</v>
      </c>
      <c r="BB29" s="175">
        <f t="shared" si="5"/>
        <v>18.454113754044116</v>
      </c>
      <c r="BC29" s="136"/>
      <c r="BD29" s="136"/>
      <c r="BE29" s="26"/>
      <c r="BF29" s="26"/>
    </row>
    <row r="30" spans="2:54" ht="12">
      <c r="B30" s="36"/>
      <c r="C30" s="61"/>
      <c r="G30" s="20"/>
      <c r="Q30" s="273">
        <v>1.15</v>
      </c>
      <c r="R30" s="132">
        <v>1.15</v>
      </c>
      <c r="AD30" s="128"/>
      <c r="AJ30" s="136"/>
      <c r="AK30" s="128" t="s">
        <v>152</v>
      </c>
      <c r="AL30" s="129">
        <f>IF(v=0,0,-w/v)</f>
        <v>1.296761965325298</v>
      </c>
      <c r="AM30" s="136"/>
      <c r="AN30" s="136"/>
      <c r="AO30" s="136"/>
      <c r="AP30" s="129">
        <v>5</v>
      </c>
      <c r="AQ30" s="176">
        <f t="shared" si="6"/>
        <v>0</v>
      </c>
      <c r="AR30" s="174">
        <f t="shared" si="7"/>
        <v>-522.9182500000001</v>
      </c>
      <c r="AS30" s="176">
        <f t="shared" si="8"/>
        <v>0</v>
      </c>
      <c r="AT30" s="176">
        <f t="shared" si="9"/>
        <v>-28.48728563190175</v>
      </c>
      <c r="AU30" s="175">
        <f t="shared" si="10"/>
        <v>0</v>
      </c>
      <c r="AV30" s="176">
        <f t="shared" si="11"/>
        <v>-221.65188064736668</v>
      </c>
      <c r="AW30" s="175">
        <f t="shared" si="12"/>
        <v>0</v>
      </c>
      <c r="AX30" s="176">
        <f t="shared" si="1"/>
        <v>0</v>
      </c>
      <c r="AY30" s="175">
        <f t="shared" si="2"/>
        <v>0</v>
      </c>
      <c r="AZ30" s="176">
        <f t="shared" si="3"/>
        <v>0</v>
      </c>
      <c r="BA30" s="175">
        <f t="shared" si="4"/>
      </c>
      <c r="BB30" s="175">
        <f t="shared" si="5"/>
        <v>-221.65188064736668</v>
      </c>
    </row>
    <row r="31" spans="17:54" ht="12.75" thickBot="1">
      <c r="Q31" s="274" t="s">
        <v>211</v>
      </c>
      <c r="R31" s="132" t="s">
        <v>211</v>
      </c>
      <c r="U31" s="319" t="str">
        <f>geom(Nb,Na,BX,BY,AA,AX,AY,0,neq)</f>
        <v> 500000000 0 600000000 0000000000000 144000000 0 100000000-1000000000000 144000000 0 100000000-1 120000000 1000000000000000000000000000000000000</v>
      </c>
      <c r="AD31" s="128"/>
      <c r="AJ31" s="136"/>
      <c r="AK31" s="136"/>
      <c r="AL31" s="136"/>
      <c r="AM31" s="136"/>
      <c r="AN31" s="136"/>
      <c r="AO31" s="136"/>
      <c r="AP31" s="129">
        <v>6</v>
      </c>
      <c r="AQ31" s="176">
        <f t="shared" si="6"/>
        <v>0</v>
      </c>
      <c r="AR31" s="174">
        <f t="shared" si="7"/>
        <v>-168.59545</v>
      </c>
      <c r="AS31" s="176">
        <f t="shared" si="8"/>
        <v>0</v>
      </c>
      <c r="AT31" s="176">
        <f t="shared" si="9"/>
        <v>3.047817006783704</v>
      </c>
      <c r="AU31" s="175">
        <f t="shared" si="10"/>
        <v>0</v>
      </c>
      <c r="AV31" s="176">
        <f t="shared" si="11"/>
        <v>-118.15429367730238</v>
      </c>
      <c r="AW31" s="175">
        <f t="shared" si="12"/>
        <v>0</v>
      </c>
      <c r="AX31" s="176">
        <f t="shared" si="1"/>
        <v>0</v>
      </c>
      <c r="AY31" s="175">
        <f t="shared" si="2"/>
        <v>0</v>
      </c>
      <c r="AZ31" s="176">
        <f t="shared" si="3"/>
        <v>0</v>
      </c>
      <c r="BA31" s="175">
        <f t="shared" si="4"/>
      </c>
      <c r="BB31" s="175">
        <f t="shared" si="5"/>
        <v>-118.15429367730238</v>
      </c>
    </row>
    <row r="32" spans="1:54" ht="13.5" thickBot="1" thickTop="1">
      <c r="A32" s="112" t="str">
        <f>"La section est "&amp;INDEX(AT62:AU65,AU61,2)</f>
        <v>La section est partiellement tendue en ELS</v>
      </c>
      <c r="AD32" s="128"/>
      <c r="AJ32" s="136"/>
      <c r="AK32" s="136"/>
      <c r="AL32" s="136"/>
      <c r="AM32" s="136"/>
      <c r="AN32" s="136"/>
      <c r="AO32" s="136"/>
      <c r="AP32" s="129">
        <v>7</v>
      </c>
      <c r="AQ32" s="176">
        <f t="shared" si="6"/>
        <v>0</v>
      </c>
      <c r="AR32" s="174">
        <f t="shared" si="7"/>
        <v>212.98295000000002</v>
      </c>
      <c r="AS32" s="176">
        <f t="shared" si="8"/>
        <v>0</v>
      </c>
      <c r="AT32" s="176">
        <f t="shared" si="9"/>
        <v>37.00869677152188</v>
      </c>
      <c r="AU32" s="175">
        <f t="shared" si="10"/>
        <v>0</v>
      </c>
      <c r="AV32" s="176">
        <f t="shared" si="11"/>
        <v>-6.695353863386923</v>
      </c>
      <c r="AW32" s="175">
        <f t="shared" si="12"/>
        <v>0</v>
      </c>
      <c r="AX32" s="176">
        <f t="shared" si="1"/>
        <v>0</v>
      </c>
      <c r="AY32" s="175">
        <f t="shared" si="2"/>
        <v>0</v>
      </c>
      <c r="AZ32" s="176">
        <f t="shared" si="3"/>
        <v>0</v>
      </c>
      <c r="BA32" s="175">
        <f t="shared" si="4"/>
      </c>
      <c r="BB32" s="175">
        <f t="shared" si="5"/>
        <v>-6.695353863386923</v>
      </c>
    </row>
    <row r="33" spans="7:54" ht="12.75" thickTop="1">
      <c r="G33" s="23"/>
      <c r="H33" s="115" t="s">
        <v>215</v>
      </c>
      <c r="I33" s="24"/>
      <c r="Q33" s="275">
        <v>0</v>
      </c>
      <c r="R33" s="183">
        <v>0</v>
      </c>
      <c r="T33" s="276">
        <v>20</v>
      </c>
      <c r="U33" s="277">
        <v>0.05</v>
      </c>
      <c r="V33" s="242">
        <v>0.05</v>
      </c>
      <c r="AJ33" s="136"/>
      <c r="AK33" s="136"/>
      <c r="AL33" s="136"/>
      <c r="AM33" s="136"/>
      <c r="AN33" s="136"/>
      <c r="AO33" s="136"/>
      <c r="AP33" s="129">
        <v>8</v>
      </c>
      <c r="AQ33" s="176">
        <f t="shared" si="6"/>
        <v>0</v>
      </c>
      <c r="AR33" s="174">
        <f t="shared" si="7"/>
        <v>567.30575</v>
      </c>
      <c r="AS33" s="176">
        <f t="shared" si="8"/>
        <v>0</v>
      </c>
      <c r="AT33" s="176">
        <f t="shared" si="9"/>
        <v>68.54379941020734</v>
      </c>
      <c r="AU33" s="175">
        <f t="shared" si="10"/>
        <v>0</v>
      </c>
      <c r="AV33" s="176">
        <f t="shared" si="11"/>
        <v>96.80223310667743</v>
      </c>
      <c r="AW33" s="175">
        <f t="shared" si="12"/>
        <v>0</v>
      </c>
      <c r="AX33" s="176">
        <f t="shared" si="1"/>
        <v>0</v>
      </c>
      <c r="AY33" s="175">
        <f t="shared" si="2"/>
        <v>0</v>
      </c>
      <c r="AZ33" s="176">
        <f t="shared" si="3"/>
        <v>0</v>
      </c>
      <c r="BA33" s="175">
        <f t="shared" si="4"/>
      </c>
      <c r="BB33" s="175">
        <f t="shared" si="5"/>
        <v>96.80223310667743</v>
      </c>
    </row>
    <row r="34" spans="2:54" ht="12">
      <c r="B34" s="70"/>
      <c r="C34" s="71" t="s">
        <v>174</v>
      </c>
      <c r="D34" s="70" t="s">
        <v>173</v>
      </c>
      <c r="E34" s="23"/>
      <c r="G34" s="23"/>
      <c r="H34" s="70" t="s">
        <v>166</v>
      </c>
      <c r="I34" s="70" t="s">
        <v>167</v>
      </c>
      <c r="K34" s="251" t="str">
        <f>IF(P=0,"N résid.","N résist.")</f>
        <v>N résist.</v>
      </c>
      <c r="L34" s="252">
        <f>IF(cas=1,MIN(sc/H35,ss/MAX(I35,-I36))*P,BA8)</f>
        <v>0.33015721000000003</v>
      </c>
      <c r="M34" s="253" t="s">
        <v>143</v>
      </c>
      <c r="Q34" s="278">
        <v>0</v>
      </c>
      <c r="R34" s="185">
        <v>1</v>
      </c>
      <c r="T34" s="279">
        <v>20</v>
      </c>
      <c r="U34" s="280">
        <v>0.05</v>
      </c>
      <c r="V34" s="243">
        <v>0.95</v>
      </c>
      <c r="AJ34" s="136"/>
      <c r="AK34" s="136"/>
      <c r="AL34" s="136"/>
      <c r="AM34" s="136"/>
      <c r="AN34" s="136"/>
      <c r="AO34" s="136"/>
      <c r="AP34" s="129">
        <v>9</v>
      </c>
      <c r="AQ34" s="176">
        <f t="shared" si="6"/>
        <v>0</v>
      </c>
      <c r="AR34" s="174">
        <f t="shared" si="7"/>
        <v>-548.671375</v>
      </c>
      <c r="AS34" s="176">
        <f t="shared" si="8"/>
        <v>0</v>
      </c>
      <c r="AT34" s="176">
        <f t="shared" si="9"/>
        <v>-51.588442717402785</v>
      </c>
      <c r="AU34" s="175">
        <f t="shared" si="10"/>
        <v>0</v>
      </c>
      <c r="AV34" s="176">
        <f t="shared" si="11"/>
        <v>-280.4129701618417</v>
      </c>
      <c r="AW34" s="175">
        <f t="shared" si="12"/>
        <v>0</v>
      </c>
      <c r="AX34" s="176">
        <f t="shared" si="1"/>
        <v>0</v>
      </c>
      <c r="AY34" s="175">
        <f t="shared" si="2"/>
        <v>0</v>
      </c>
      <c r="AZ34" s="176">
        <f t="shared" si="3"/>
        <v>0</v>
      </c>
      <c r="BA34" s="175">
        <f t="shared" si="4"/>
      </c>
      <c r="BB34" s="175">
        <f t="shared" si="5"/>
        <v>-280.4129701618417</v>
      </c>
    </row>
    <row r="35" spans="2:54" ht="13.5">
      <c r="B35" s="67" t="s">
        <v>194</v>
      </c>
      <c r="C35" s="66">
        <f>IF(P=0,0,ex)</f>
        <v>2.76</v>
      </c>
      <c r="D35" s="66">
        <f>IF(C35=0,0,fnx(C13,C14,xg,yg,phir))</f>
        <v>2.26</v>
      </c>
      <c r="E35" s="23" t="s">
        <v>187</v>
      </c>
      <c r="G35" s="72" t="s">
        <v>158</v>
      </c>
      <c r="H35" s="249">
        <f>MAX(F45:F76)</f>
        <v>9.62958730818791</v>
      </c>
      <c r="I35" s="250">
        <f>MAX(M45:M76)</f>
        <v>96.80223310667743</v>
      </c>
      <c r="K35" s="254" t="str">
        <f>IF(P=0,"","soit")</f>
        <v>soit</v>
      </c>
      <c r="L35" s="255">
        <f>IF(P=0,"",L34/P)</f>
        <v>0.821286592039801</v>
      </c>
      <c r="M35" s="256" t="str">
        <f>IF(P=0,"","de P")</f>
        <v>de P</v>
      </c>
      <c r="N35" s="320" t="str">
        <f>IF((L34-P)&gt;0.001,"OK","KO")</f>
        <v>KO</v>
      </c>
      <c r="O35" s="293"/>
      <c r="Q35" s="278">
        <v>0.7</v>
      </c>
      <c r="R35" s="185">
        <v>1</v>
      </c>
      <c r="T35" s="279">
        <v>20</v>
      </c>
      <c r="U35" s="280">
        <v>0.65</v>
      </c>
      <c r="V35" s="243">
        <v>0.95</v>
      </c>
      <c r="Y35" s="38" t="s">
        <v>240</v>
      </c>
      <c r="Z35" s="281"/>
      <c r="AA35" s="281"/>
      <c r="AB35" s="281"/>
      <c r="AC35" s="281"/>
      <c r="AD35" s="281"/>
      <c r="AE35" s="281"/>
      <c r="AF35" s="281"/>
      <c r="AG35" s="281"/>
      <c r="AJ35" s="136"/>
      <c r="AK35" s="136"/>
      <c r="AL35" s="136"/>
      <c r="AM35" s="136"/>
      <c r="AN35" s="136"/>
      <c r="AO35" s="136"/>
      <c r="AP35" s="129">
        <v>10</v>
      </c>
      <c r="AQ35" s="176">
        <f t="shared" si="6"/>
        <v>0</v>
      </c>
      <c r="AR35" s="174">
        <f t="shared" si="7"/>
        <v>541.8960000000001</v>
      </c>
      <c r="AS35" s="176">
        <f t="shared" si="8"/>
        <v>0</v>
      </c>
      <c r="AT35" s="176">
        <f t="shared" si="9"/>
        <v>45.75065775251297</v>
      </c>
      <c r="AU35" s="175">
        <f t="shared" si="10"/>
        <v>0</v>
      </c>
      <c r="AV35" s="176">
        <f t="shared" si="11"/>
        <v>38.82462478572878</v>
      </c>
      <c r="AW35" s="175">
        <f t="shared" si="12"/>
        <v>0</v>
      </c>
      <c r="AX35" s="176">
        <f t="shared" si="1"/>
        <v>0</v>
      </c>
      <c r="AY35" s="175">
        <f t="shared" si="2"/>
        <v>0</v>
      </c>
      <c r="AZ35" s="176">
        <f t="shared" si="3"/>
        <v>0</v>
      </c>
      <c r="BA35" s="175">
        <f t="shared" si="4"/>
      </c>
      <c r="BB35" s="175">
        <f t="shared" si="5"/>
        <v>38.82462478572878</v>
      </c>
    </row>
    <row r="36" spans="2:54" ht="13.5">
      <c r="B36" s="67" t="s">
        <v>195</v>
      </c>
      <c r="C36" s="67">
        <f>IF(P=0,0,ey)</f>
        <v>1.42</v>
      </c>
      <c r="D36" s="67">
        <f>IF(C36=0,0,fny(C13,C14,xg,yg,phir))</f>
        <v>0.82</v>
      </c>
      <c r="E36" s="23" t="s">
        <v>187</v>
      </c>
      <c r="G36" s="72" t="s">
        <v>159</v>
      </c>
      <c r="H36" s="249">
        <f>MIN(F45:F76)</f>
        <v>0</v>
      </c>
      <c r="I36" s="250">
        <f>MIN(M45:M76)</f>
        <v>-300</v>
      </c>
      <c r="Q36" s="278">
        <v>0.7</v>
      </c>
      <c r="R36" s="185">
        <v>0</v>
      </c>
      <c r="T36" s="279">
        <v>20</v>
      </c>
      <c r="U36" s="280">
        <v>0.65</v>
      </c>
      <c r="V36" s="243">
        <v>0.05</v>
      </c>
      <c r="Y36" s="282">
        <v>1</v>
      </c>
      <c r="Z36" s="283">
        <v>2</v>
      </c>
      <c r="AA36" s="283">
        <v>3</v>
      </c>
      <c r="AB36" s="283">
        <v>4</v>
      </c>
      <c r="AC36" s="283">
        <v>5</v>
      </c>
      <c r="AD36" s="283">
        <v>6</v>
      </c>
      <c r="AE36" s="283">
        <v>7</v>
      </c>
      <c r="AF36" s="283">
        <v>8</v>
      </c>
      <c r="AG36" s="284">
        <v>9</v>
      </c>
      <c r="AJ36" s="136"/>
      <c r="AK36" s="136"/>
      <c r="AL36" s="136"/>
      <c r="AM36" s="136"/>
      <c r="AN36" s="136"/>
      <c r="AO36" s="136"/>
      <c r="AP36" s="129">
        <v>11</v>
      </c>
      <c r="AQ36" s="176">
        <f t="shared" si="6"/>
        <v>0</v>
      </c>
      <c r="AR36" s="174">
        <f t="shared" si="7"/>
        <v>-540.087</v>
      </c>
      <c r="AS36" s="176">
        <f t="shared" si="8"/>
        <v>0</v>
      </c>
      <c r="AT36" s="176">
        <f t="shared" si="9"/>
        <v>-43.88805702223578</v>
      </c>
      <c r="AU36" s="175">
        <f t="shared" si="10"/>
        <v>0</v>
      </c>
      <c r="AV36" s="176">
        <f t="shared" si="11"/>
        <v>-260.82594032368337</v>
      </c>
      <c r="AW36" s="175">
        <f t="shared" si="12"/>
        <v>0</v>
      </c>
      <c r="AX36" s="176">
        <f t="shared" si="1"/>
        <v>0</v>
      </c>
      <c r="AY36" s="175">
        <f t="shared" si="2"/>
        <v>0</v>
      </c>
      <c r="AZ36" s="176">
        <f t="shared" si="3"/>
        <v>0</v>
      </c>
      <c r="BA36" s="175">
        <f t="shared" si="4"/>
      </c>
      <c r="BB36" s="175">
        <f t="shared" si="5"/>
        <v>-260.82594032368337</v>
      </c>
    </row>
    <row r="37" spans="2:54" ht="13.5">
      <c r="B37" s="67" t="s">
        <v>196</v>
      </c>
      <c r="C37" s="67">
        <f>IF(P=0,ey,P*ey)</f>
        <v>0.57084</v>
      </c>
      <c r="D37" s="67">
        <f>IF(P=0,ey,P*D36)</f>
        <v>0.32964</v>
      </c>
      <c r="E37" s="23" t="s">
        <v>163</v>
      </c>
      <c r="K37" s="257"/>
      <c r="L37" s="258" t="s">
        <v>220</v>
      </c>
      <c r="M37" s="259"/>
      <c r="N37" s="260"/>
      <c r="O37" s="266"/>
      <c r="Y37" s="27" t="s">
        <v>241</v>
      </c>
      <c r="Z37" s="285" t="s">
        <v>242</v>
      </c>
      <c r="AA37" s="285" t="s">
        <v>113</v>
      </c>
      <c r="AB37" s="285" t="s">
        <v>108</v>
      </c>
      <c r="AC37" s="285" t="s">
        <v>107</v>
      </c>
      <c r="AD37" s="285" t="s">
        <v>110</v>
      </c>
      <c r="AE37" s="285" t="s">
        <v>109</v>
      </c>
      <c r="AF37" s="285" t="s">
        <v>243</v>
      </c>
      <c r="AG37" s="286" t="s">
        <v>105</v>
      </c>
      <c r="AJ37" s="136"/>
      <c r="AK37" s="136"/>
      <c r="AL37" s="136"/>
      <c r="AM37" s="136"/>
      <c r="AN37" s="136"/>
      <c r="AO37" s="136"/>
      <c r="AP37" s="129">
        <v>12</v>
      </c>
      <c r="AQ37" s="176">
        <f t="shared" si="6"/>
        <v>0</v>
      </c>
      <c r="AR37" s="174">
        <f t="shared" si="7"/>
        <v>550.1370000000001</v>
      </c>
      <c r="AS37" s="176">
        <f t="shared" si="8"/>
        <v>0</v>
      </c>
      <c r="AT37" s="176">
        <f t="shared" si="9"/>
        <v>53.143028019873306</v>
      </c>
      <c r="AU37" s="175">
        <f t="shared" si="10"/>
        <v>0</v>
      </c>
      <c r="AV37" s="176">
        <f t="shared" si="11"/>
        <v>57.628173430360754</v>
      </c>
      <c r="AW37" s="175">
        <f t="shared" si="12"/>
        <v>0</v>
      </c>
      <c r="AX37" s="176">
        <f t="shared" si="1"/>
        <v>0</v>
      </c>
      <c r="AY37" s="175">
        <f t="shared" si="2"/>
        <v>0</v>
      </c>
      <c r="AZ37" s="176">
        <f t="shared" si="3"/>
        <v>0</v>
      </c>
      <c r="BA37" s="175">
        <f t="shared" si="4"/>
      </c>
      <c r="BB37" s="175">
        <f t="shared" si="5"/>
        <v>57.628173430360754</v>
      </c>
    </row>
    <row r="38" spans="2:54" ht="13.5">
      <c r="B38" s="74" t="s">
        <v>197</v>
      </c>
      <c r="C38" s="74">
        <f>IF(P=0,ex,P*ex)</f>
        <v>1.10952</v>
      </c>
      <c r="D38" s="74">
        <f>IF(P=0,ex,P*D35)</f>
        <v>0.90852</v>
      </c>
      <c r="E38" s="23" t="s">
        <v>163</v>
      </c>
      <c r="K38" s="261"/>
      <c r="L38" s="262" t="str">
        <f>IF(P=0,"Delta omega =","Delta exc. =")</f>
        <v>Delta exc. =</v>
      </c>
      <c r="M38" s="263">
        <f>preci</f>
        <v>1.1341191E-06</v>
      </c>
      <c r="N38" s="264" t="str">
        <f>IF(P=0,"degré","mm")</f>
        <v>mm</v>
      </c>
      <c r="O38" s="266"/>
      <c r="Y38" s="27">
        <v>12</v>
      </c>
      <c r="Z38" s="285">
        <v>1.6</v>
      </c>
      <c r="AA38" s="285">
        <v>27</v>
      </c>
      <c r="AB38" s="285">
        <v>3.5</v>
      </c>
      <c r="AC38" s="285">
        <v>1.8</v>
      </c>
      <c r="AD38" s="285">
        <v>3.5</v>
      </c>
      <c r="AE38" s="285">
        <v>2</v>
      </c>
      <c r="AF38" s="285">
        <v>2</v>
      </c>
      <c r="AG38" s="287">
        <f aca="true" t="shared" si="13" ref="AG38:AG51">1.05*AA38/1.2*AC38/Y38*gc</f>
        <v>8.268750000000002</v>
      </c>
      <c r="AJ38" s="136"/>
      <c r="AK38" s="136"/>
      <c r="AL38" s="136"/>
      <c r="AM38" s="136"/>
      <c r="AN38" s="136"/>
      <c r="AO38" s="136"/>
      <c r="AP38" s="129">
        <v>13</v>
      </c>
      <c r="AQ38" s="176">
        <f t="shared" si="6"/>
        <v>0</v>
      </c>
      <c r="AR38" s="174">
        <f t="shared" si="7"/>
        <v>-531.5026250000001</v>
      </c>
      <c r="AS38" s="176">
        <f t="shared" si="8"/>
        <v>0</v>
      </c>
      <c r="AT38" s="176">
        <f t="shared" si="9"/>
        <v>-36.18767132706877</v>
      </c>
      <c r="AU38" s="175">
        <f t="shared" si="10"/>
        <v>0</v>
      </c>
      <c r="AV38" s="176">
        <f t="shared" si="11"/>
        <v>-241.23891048552508</v>
      </c>
      <c r="AW38" s="175">
        <f t="shared" si="12"/>
        <v>0</v>
      </c>
      <c r="AX38" s="176">
        <f t="shared" si="1"/>
        <v>0</v>
      </c>
      <c r="AY38" s="175">
        <f t="shared" si="2"/>
        <v>0</v>
      </c>
      <c r="AZ38" s="176">
        <f t="shared" si="3"/>
        <v>0</v>
      </c>
      <c r="BA38" s="175">
        <f t="shared" si="4"/>
      </c>
      <c r="BB38" s="175">
        <f t="shared" si="5"/>
        <v>-241.23891048552508</v>
      </c>
    </row>
    <row r="39" spans="2:54" ht="12">
      <c r="B39" s="23"/>
      <c r="C39" s="61"/>
      <c r="D39" s="25"/>
      <c r="K39" s="265" t="s">
        <v>93</v>
      </c>
      <c r="L39" s="266"/>
      <c r="M39" s="266"/>
      <c r="N39" s="264"/>
      <c r="O39" s="266"/>
      <c r="R39" s="178" t="s">
        <v>171</v>
      </c>
      <c r="S39" s="179"/>
      <c r="Y39" s="27">
        <v>16</v>
      </c>
      <c r="Z39" s="285">
        <v>1.9</v>
      </c>
      <c r="AA39" s="285">
        <v>29</v>
      </c>
      <c r="AB39" s="285">
        <v>3.5</v>
      </c>
      <c r="AC39" s="285">
        <v>1.9</v>
      </c>
      <c r="AD39" s="285">
        <v>3.5</v>
      </c>
      <c r="AE39" s="285">
        <v>2</v>
      </c>
      <c r="AF39" s="285">
        <v>2</v>
      </c>
      <c r="AG39" s="287">
        <f t="shared" si="13"/>
        <v>7.0309895833333345</v>
      </c>
      <c r="AJ39" s="136"/>
      <c r="AK39" s="136"/>
      <c r="AL39" s="136"/>
      <c r="AM39" s="136"/>
      <c r="AN39" s="136"/>
      <c r="AO39" s="136"/>
      <c r="AP39" s="129">
        <v>14</v>
      </c>
      <c r="AQ39" s="176">
        <f t="shared" si="6"/>
        <v>0</v>
      </c>
      <c r="AR39" s="174">
        <f t="shared" si="7"/>
        <v>558.721375</v>
      </c>
      <c r="AS39" s="176">
        <f t="shared" si="8"/>
        <v>0</v>
      </c>
      <c r="AT39" s="176">
        <f t="shared" si="9"/>
        <v>60.84341371504031</v>
      </c>
      <c r="AU39" s="175">
        <f t="shared" si="10"/>
        <v>0</v>
      </c>
      <c r="AV39" s="176">
        <f t="shared" si="11"/>
        <v>77.21520326851906</v>
      </c>
      <c r="AW39" s="175">
        <f t="shared" si="12"/>
        <v>0</v>
      </c>
      <c r="AX39" s="176">
        <f t="shared" si="1"/>
        <v>0</v>
      </c>
      <c r="AY39" s="175">
        <f t="shared" si="2"/>
        <v>0</v>
      </c>
      <c r="AZ39" s="176">
        <f t="shared" si="3"/>
        <v>0</v>
      </c>
      <c r="BA39" s="175">
        <f t="shared" si="4"/>
      </c>
      <c r="BB39" s="175">
        <f t="shared" si="5"/>
        <v>77.21520326851906</v>
      </c>
    </row>
    <row r="40" spans="1:54" ht="12">
      <c r="A40" s="19"/>
      <c r="K40" s="267" t="s">
        <v>221</v>
      </c>
      <c r="L40" s="268"/>
      <c r="M40" s="268"/>
      <c r="N40" s="269"/>
      <c r="O40" s="266"/>
      <c r="Q40" s="132"/>
      <c r="R40" s="138" t="s">
        <v>185</v>
      </c>
      <c r="S40" s="152" t="s">
        <v>186</v>
      </c>
      <c r="Y40" s="27">
        <v>20</v>
      </c>
      <c r="Z40" s="285">
        <v>2.2</v>
      </c>
      <c r="AA40" s="285">
        <v>30</v>
      </c>
      <c r="AB40" s="285">
        <v>3.5</v>
      </c>
      <c r="AC40" s="285">
        <v>2</v>
      </c>
      <c r="AD40" s="285">
        <v>3.5</v>
      </c>
      <c r="AE40" s="285">
        <v>2</v>
      </c>
      <c r="AF40" s="285">
        <v>2</v>
      </c>
      <c r="AG40" s="287">
        <f t="shared" si="13"/>
        <v>6.125</v>
      </c>
      <c r="AJ40" s="136"/>
      <c r="AK40" s="136"/>
      <c r="AL40" s="136"/>
      <c r="AM40" s="136"/>
      <c r="AN40" s="136"/>
      <c r="AO40" s="136"/>
      <c r="AP40" s="129">
        <v>15</v>
      </c>
      <c r="AQ40" s="176">
        <f t="shared" si="6"/>
        <v>0</v>
      </c>
      <c r="AR40" s="174">
        <f t="shared" si="7"/>
        <v>0</v>
      </c>
      <c r="AS40" s="176">
        <f t="shared" si="8"/>
        <v>0</v>
      </c>
      <c r="AT40" s="176">
        <f t="shared" si="9"/>
        <v>0</v>
      </c>
      <c r="AU40" s="175">
        <f t="shared" si="10"/>
        <v>0</v>
      </c>
      <c r="AV40" s="176">
        <f t="shared" si="11"/>
        <v>-101.5988834466613</v>
      </c>
      <c r="AW40" s="175">
        <f t="shared" si="12"/>
        <v>0</v>
      </c>
      <c r="AX40" s="176">
        <f t="shared" si="1"/>
        <v>0</v>
      </c>
      <c r="AY40" s="175">
        <f t="shared" si="2"/>
        <v>0</v>
      </c>
      <c r="AZ40" s="176">
        <f t="shared" si="3"/>
        <v>0</v>
      </c>
      <c r="BA40" s="175">
        <f t="shared" si="4"/>
      </c>
      <c r="BB40" s="175">
        <f t="shared" si="5"/>
      </c>
    </row>
    <row r="41" spans="1:54" ht="12.75" thickBot="1">
      <c r="A41" s="77"/>
      <c r="B41" s="30"/>
      <c r="C41" s="61"/>
      <c r="D41" s="31"/>
      <c r="F41" s="78"/>
      <c r="H41" s="21"/>
      <c r="Q41" s="132"/>
      <c r="R41" s="180" t="s">
        <v>187</v>
      </c>
      <c r="S41" s="181" t="s">
        <v>187</v>
      </c>
      <c r="Y41" s="27">
        <v>25</v>
      </c>
      <c r="Z41" s="285">
        <v>2.6</v>
      </c>
      <c r="AA41" s="285">
        <v>31</v>
      </c>
      <c r="AB41" s="285">
        <v>3.5</v>
      </c>
      <c r="AC41" s="285">
        <v>2.1</v>
      </c>
      <c r="AD41" s="285">
        <v>3.5</v>
      </c>
      <c r="AE41" s="285">
        <v>2</v>
      </c>
      <c r="AF41" s="285">
        <v>2</v>
      </c>
      <c r="AG41" s="287">
        <f t="shared" si="13"/>
        <v>5.316500000000002</v>
      </c>
      <c r="AJ41" s="136"/>
      <c r="AK41" s="136"/>
      <c r="AL41" s="136"/>
      <c r="AM41" s="136"/>
      <c r="AN41" s="136"/>
      <c r="AO41" s="136"/>
      <c r="AP41" s="129">
        <v>16</v>
      </c>
      <c r="AQ41" s="176">
        <f t="shared" si="6"/>
        <v>0</v>
      </c>
      <c r="AR41" s="174">
        <f t="shared" si="7"/>
        <v>0</v>
      </c>
      <c r="AS41" s="176">
        <f t="shared" si="8"/>
        <v>0</v>
      </c>
      <c r="AT41" s="176">
        <f t="shared" si="9"/>
        <v>0</v>
      </c>
      <c r="AU41" s="175">
        <f t="shared" si="10"/>
        <v>0</v>
      </c>
      <c r="AV41" s="176">
        <f t="shared" si="11"/>
        <v>-101.5988834466613</v>
      </c>
      <c r="AW41" s="175">
        <f t="shared" si="12"/>
        <v>0</v>
      </c>
      <c r="AX41" s="176">
        <f t="shared" si="1"/>
        <v>0</v>
      </c>
      <c r="AY41" s="175">
        <f t="shared" si="2"/>
        <v>0</v>
      </c>
      <c r="AZ41" s="176">
        <f t="shared" si="3"/>
        <v>0</v>
      </c>
      <c r="BA41" s="175">
        <f t="shared" si="4"/>
      </c>
      <c r="BB41" s="175">
        <f t="shared" si="5"/>
      </c>
    </row>
    <row r="42" spans="2:54" ht="12.75" thickTop="1">
      <c r="B42" s="75" t="s">
        <v>171</v>
      </c>
      <c r="C42" s="76"/>
      <c r="D42" s="80"/>
      <c r="E42" s="80"/>
      <c r="F42" s="76" t="s">
        <v>157</v>
      </c>
      <c r="G42" s="81" t="s">
        <v>172</v>
      </c>
      <c r="H42" s="80"/>
      <c r="I42" s="76"/>
      <c r="J42" s="80"/>
      <c r="K42" s="80"/>
      <c r="L42" s="80"/>
      <c r="M42" s="82" t="s">
        <v>157</v>
      </c>
      <c r="N42" s="38"/>
      <c r="O42" s="38"/>
      <c r="Q42" s="174"/>
      <c r="R42" s="182">
        <v>0.2</v>
      </c>
      <c r="S42" s="183">
        <v>0</v>
      </c>
      <c r="Y42" s="27">
        <v>30</v>
      </c>
      <c r="Z42" s="285">
        <v>2.9</v>
      </c>
      <c r="AA42" s="285">
        <v>33</v>
      </c>
      <c r="AB42" s="285">
        <v>3.5</v>
      </c>
      <c r="AC42" s="285">
        <v>2.2</v>
      </c>
      <c r="AD42" s="285">
        <v>3.5</v>
      </c>
      <c r="AE42" s="285">
        <v>2</v>
      </c>
      <c r="AF42" s="285">
        <v>2</v>
      </c>
      <c r="AG42" s="287">
        <f t="shared" si="13"/>
        <v>4.940833333333334</v>
      </c>
      <c r="AH42" s="128"/>
      <c r="AJ42" s="136"/>
      <c r="AK42" s="136"/>
      <c r="AL42" s="136"/>
      <c r="AM42" s="136"/>
      <c r="AN42" s="136"/>
      <c r="AO42" s="136"/>
      <c r="AP42" s="129">
        <v>17</v>
      </c>
      <c r="AQ42" s="176">
        <f t="shared" si="6"/>
        <v>0</v>
      </c>
      <c r="AR42" s="174">
        <f t="shared" si="7"/>
        <v>0</v>
      </c>
      <c r="AS42" s="176">
        <f t="shared" si="8"/>
        <v>0</v>
      </c>
      <c r="AT42" s="176">
        <f t="shared" si="9"/>
        <v>0</v>
      </c>
      <c r="AU42" s="175">
        <f t="shared" si="10"/>
        <v>0</v>
      </c>
      <c r="AV42" s="176">
        <f t="shared" si="11"/>
        <v>-101.5988834466613</v>
      </c>
      <c r="AW42" s="175">
        <f t="shared" si="12"/>
        <v>0</v>
      </c>
      <c r="AX42" s="176">
        <f t="shared" si="1"/>
        <v>0</v>
      </c>
      <c r="AY42" s="175">
        <f t="shared" si="2"/>
        <v>0</v>
      </c>
      <c r="AZ42" s="176">
        <f t="shared" si="3"/>
        <v>0</v>
      </c>
      <c r="BA42" s="175">
        <f t="shared" si="4"/>
      </c>
      <c r="BB42" s="175">
        <f t="shared" si="5"/>
      </c>
    </row>
    <row r="43" spans="2:54" ht="13.5">
      <c r="B43" s="35" t="s">
        <v>185</v>
      </c>
      <c r="C43" s="35" t="s">
        <v>186</v>
      </c>
      <c r="D43" s="27" t="s">
        <v>198</v>
      </c>
      <c r="E43" s="28" t="s">
        <v>199</v>
      </c>
      <c r="F43" s="83" t="s">
        <v>203</v>
      </c>
      <c r="G43" s="35" t="s">
        <v>20</v>
      </c>
      <c r="H43" s="35" t="s">
        <v>185</v>
      </c>
      <c r="I43" s="35" t="s">
        <v>186</v>
      </c>
      <c r="J43" s="27" t="s">
        <v>198</v>
      </c>
      <c r="K43" s="28" t="s">
        <v>199</v>
      </c>
      <c r="L43" s="35" t="s">
        <v>19</v>
      </c>
      <c r="M43" s="83" t="s">
        <v>204</v>
      </c>
      <c r="N43" s="61"/>
      <c r="O43" s="61"/>
      <c r="P43" s="132"/>
      <c r="Q43" s="174"/>
      <c r="R43" s="184">
        <v>0.2</v>
      </c>
      <c r="S43" s="185">
        <v>0.2</v>
      </c>
      <c r="Y43" s="288">
        <v>35</v>
      </c>
      <c r="Z43" s="285">
        <v>3.2</v>
      </c>
      <c r="AA43" s="285">
        <v>34</v>
      </c>
      <c r="AB43" s="285">
        <v>3.5</v>
      </c>
      <c r="AC43" s="285">
        <v>2.25</v>
      </c>
      <c r="AD43" s="285">
        <v>3.5</v>
      </c>
      <c r="AE43" s="285">
        <v>2</v>
      </c>
      <c r="AF43" s="285">
        <v>2</v>
      </c>
      <c r="AG43" s="287">
        <f t="shared" si="13"/>
        <v>4.462500000000001</v>
      </c>
      <c r="AJ43" s="136"/>
      <c r="AK43" s="136"/>
      <c r="AL43" s="136"/>
      <c r="AM43" s="136"/>
      <c r="AN43" s="136"/>
      <c r="AO43" s="136"/>
      <c r="AP43" s="129">
        <v>18</v>
      </c>
      <c r="AQ43" s="176">
        <f t="shared" si="6"/>
        <v>0</v>
      </c>
      <c r="AR43" s="174">
        <f t="shared" si="7"/>
        <v>0</v>
      </c>
      <c r="AS43" s="176">
        <f t="shared" si="8"/>
        <v>0</v>
      </c>
      <c r="AT43" s="176">
        <f t="shared" si="9"/>
        <v>0</v>
      </c>
      <c r="AU43" s="175">
        <f t="shared" si="10"/>
        <v>0</v>
      </c>
      <c r="AV43" s="176">
        <f t="shared" si="11"/>
        <v>-101.5988834466613</v>
      </c>
      <c r="AW43" s="175">
        <f t="shared" si="12"/>
        <v>0</v>
      </c>
      <c r="AX43" s="176">
        <f t="shared" si="1"/>
        <v>0</v>
      </c>
      <c r="AY43" s="175">
        <f t="shared" si="2"/>
        <v>0</v>
      </c>
      <c r="AZ43" s="176">
        <f t="shared" si="3"/>
        <v>0</v>
      </c>
      <c r="BA43" s="175">
        <f t="shared" si="4"/>
      </c>
      <c r="BB43" s="175">
        <f t="shared" si="5"/>
      </c>
    </row>
    <row r="44" spans="2:54" ht="14.25" thickBot="1">
      <c r="B44" s="79" t="s">
        <v>187</v>
      </c>
      <c r="C44" s="79" t="s">
        <v>187</v>
      </c>
      <c r="D44" s="62" t="s">
        <v>187</v>
      </c>
      <c r="E44" s="84" t="s">
        <v>187</v>
      </c>
      <c r="F44" s="67" t="s">
        <v>16</v>
      </c>
      <c r="G44" s="79" t="s">
        <v>188</v>
      </c>
      <c r="H44" s="79" t="s">
        <v>187</v>
      </c>
      <c r="I44" s="79" t="s">
        <v>187</v>
      </c>
      <c r="J44" s="62" t="s">
        <v>187</v>
      </c>
      <c r="K44" s="84" t="s">
        <v>187</v>
      </c>
      <c r="L44" s="37" t="s">
        <v>201</v>
      </c>
      <c r="M44" s="74" t="s">
        <v>16</v>
      </c>
      <c r="N44" s="61"/>
      <c r="O44" s="61"/>
      <c r="P44" s="132"/>
      <c r="Q44" s="174"/>
      <c r="R44" s="184">
        <v>0.3</v>
      </c>
      <c r="S44" s="185">
        <v>0.2</v>
      </c>
      <c r="Y44" s="288">
        <v>40</v>
      </c>
      <c r="Z44" s="285">
        <v>3.5</v>
      </c>
      <c r="AA44" s="285">
        <v>35</v>
      </c>
      <c r="AB44" s="285">
        <v>3.5</v>
      </c>
      <c r="AC44" s="285">
        <v>2.3</v>
      </c>
      <c r="AD44" s="285">
        <v>3.5</v>
      </c>
      <c r="AE44" s="285">
        <v>2</v>
      </c>
      <c r="AF44" s="285">
        <v>2</v>
      </c>
      <c r="AG44" s="287">
        <f>1.05*AA44/1.2*AC44/Y44*gc</f>
        <v>4.108854166666667</v>
      </c>
      <c r="AJ44" s="136"/>
      <c r="AP44" s="129">
        <v>19</v>
      </c>
      <c r="AQ44" s="176">
        <f t="shared" si="6"/>
        <v>0</v>
      </c>
      <c r="AR44" s="174">
        <f t="shared" si="7"/>
        <v>0</v>
      </c>
      <c r="AS44" s="176">
        <f t="shared" si="8"/>
        <v>0</v>
      </c>
      <c r="AT44" s="176">
        <f t="shared" si="9"/>
        <v>0</v>
      </c>
      <c r="AU44" s="175">
        <f t="shared" si="10"/>
        <v>0</v>
      </c>
      <c r="AV44" s="176">
        <f t="shared" si="11"/>
        <v>-101.5988834466613</v>
      </c>
      <c r="AW44" s="175">
        <f t="shared" si="12"/>
        <v>0</v>
      </c>
      <c r="AX44" s="176">
        <f t="shared" si="1"/>
        <v>0</v>
      </c>
      <c r="AY44" s="175">
        <f t="shared" si="2"/>
        <v>0</v>
      </c>
      <c r="AZ44" s="176">
        <f t="shared" si="3"/>
        <v>0</v>
      </c>
      <c r="BA44" s="175">
        <f t="shared" si="4"/>
      </c>
      <c r="BB44" s="175">
        <f t="shared" si="5"/>
      </c>
    </row>
    <row r="45" spans="1:54" ht="12.75" thickTop="1">
      <c r="A45" s="20">
        <v>1</v>
      </c>
      <c r="B45" s="7">
        <v>0</v>
      </c>
      <c r="C45" s="8">
        <v>0</v>
      </c>
      <c r="D45" s="85">
        <f aca="true" t="shared" si="14" ref="D45:D76">IF(A45&gt;Nb+1,0,IF(A45=Nb+1,D$45,fnx(B45,C45,xg,yg,phir)))</f>
        <v>-0.5</v>
      </c>
      <c r="E45" s="86">
        <f aca="true" t="shared" si="15" ref="E45:E76">IF(A45&gt;Nb+1,0,IF(A45=Nb+1,E$45,fny(B45,C45,xg,yg,phir)))</f>
        <v>-0.6</v>
      </c>
      <c r="F45" s="87">
        <f>BA26</f>
        <v>0</v>
      </c>
      <c r="G45" s="7">
        <v>25</v>
      </c>
      <c r="H45" s="11">
        <v>0.1</v>
      </c>
      <c r="I45" s="8">
        <v>0.1</v>
      </c>
      <c r="J45" s="85">
        <f>IF(A45&gt;Na,0,(H45-xg)*COS(phir)+(I45-yg)*SIN(phir))</f>
        <v>-0.4</v>
      </c>
      <c r="K45" s="88">
        <f>IF(A45&gt;Na,0,-(H45-xg)*SIN(phir)+(I45-yg)*COS(phir))</f>
        <v>-0.5</v>
      </c>
      <c r="L45" s="89">
        <f>PI()*(G45/10)^2/4</f>
        <v>4.908738521234052</v>
      </c>
      <c r="M45" s="90">
        <f>BB26</f>
        <v>-300</v>
      </c>
      <c r="N45" s="91"/>
      <c r="O45" s="91"/>
      <c r="P45" s="174"/>
      <c r="Q45" s="174"/>
      <c r="R45" s="184">
        <v>0.3</v>
      </c>
      <c r="S45" s="185">
        <v>0.75</v>
      </c>
      <c r="Y45" s="27">
        <v>45</v>
      </c>
      <c r="Z45" s="285">
        <v>3.8</v>
      </c>
      <c r="AA45" s="285">
        <v>36</v>
      </c>
      <c r="AB45" s="285">
        <v>3.5</v>
      </c>
      <c r="AC45" s="285">
        <v>2.4</v>
      </c>
      <c r="AD45" s="285">
        <v>3.5</v>
      </c>
      <c r="AE45" s="285">
        <v>2</v>
      </c>
      <c r="AF45" s="285">
        <v>2</v>
      </c>
      <c r="AG45" s="287">
        <f t="shared" si="13"/>
        <v>3.920000000000001</v>
      </c>
      <c r="AP45" s="129">
        <v>20</v>
      </c>
      <c r="AQ45" s="176">
        <f t="shared" si="6"/>
        <v>0</v>
      </c>
      <c r="AR45" s="174">
        <f t="shared" si="7"/>
        <v>0</v>
      </c>
      <c r="AS45" s="176">
        <f t="shared" si="8"/>
        <v>0</v>
      </c>
      <c r="AT45" s="176">
        <f t="shared" si="9"/>
        <v>0</v>
      </c>
      <c r="AU45" s="175">
        <f t="shared" si="10"/>
        <v>0</v>
      </c>
      <c r="AV45" s="176">
        <f t="shared" si="11"/>
        <v>-101.5988834466613</v>
      </c>
      <c r="AW45" s="175">
        <f t="shared" si="12"/>
        <v>0</v>
      </c>
      <c r="AX45" s="176">
        <f t="shared" si="1"/>
        <v>0</v>
      </c>
      <c r="AY45" s="175">
        <f t="shared" si="2"/>
        <v>0</v>
      </c>
      <c r="AZ45" s="176">
        <f t="shared" si="3"/>
        <v>0</v>
      </c>
      <c r="BA45" s="175">
        <f t="shared" si="4"/>
      </c>
      <c r="BB45" s="175">
        <f t="shared" si="5"/>
      </c>
    </row>
    <row r="46" spans="1:54" ht="12">
      <c r="A46" s="20">
        <v>2</v>
      </c>
      <c r="B46" s="9">
        <v>0</v>
      </c>
      <c r="C46" s="10">
        <v>1.2</v>
      </c>
      <c r="D46" s="92">
        <f t="shared" si="14"/>
        <v>-0.5</v>
      </c>
      <c r="E46" s="93">
        <f t="shared" si="15"/>
        <v>0.6</v>
      </c>
      <c r="F46" s="94">
        <f aca="true" t="shared" si="16" ref="F46:F76">BA27</f>
        <v>0</v>
      </c>
      <c r="G46" s="9">
        <v>25</v>
      </c>
      <c r="H46" s="12">
        <v>0.36</v>
      </c>
      <c r="I46" s="10">
        <v>0.1</v>
      </c>
      <c r="J46" s="92">
        <f>IF(A46&gt;Na,0,(H46-xg)*COS(phir)+(I46-yg)*SIN(phir))</f>
        <v>-0.14</v>
      </c>
      <c r="K46" s="95">
        <f>IF(A46&gt;Na,0,-(H46-xg)*SIN(phir)+(I46-yg)*COS(phir))</f>
        <v>-0.5</v>
      </c>
      <c r="L46" s="96">
        <f aca="true" t="shared" si="17" ref="L46:L76">IF(G46&gt;0,PI()*(G46/10)^2/4,"")</f>
        <v>4.908738521234052</v>
      </c>
      <c r="M46" s="97">
        <f>BB27</f>
        <v>-196.50241302993564</v>
      </c>
      <c r="N46" s="91"/>
      <c r="O46" s="91"/>
      <c r="P46" s="174"/>
      <c r="Q46" s="174"/>
      <c r="R46" s="184">
        <v>0</v>
      </c>
      <c r="S46" s="185">
        <v>0.75</v>
      </c>
      <c r="Y46" s="27">
        <v>50</v>
      </c>
      <c r="Z46" s="285">
        <v>4.1</v>
      </c>
      <c r="AA46" s="285">
        <v>37</v>
      </c>
      <c r="AB46" s="285">
        <v>3.5</v>
      </c>
      <c r="AC46" s="285">
        <v>2.45</v>
      </c>
      <c r="AD46" s="285">
        <v>3.5</v>
      </c>
      <c r="AE46" s="285">
        <v>2</v>
      </c>
      <c r="AF46" s="285">
        <v>2</v>
      </c>
      <c r="AG46" s="287">
        <f t="shared" si="13"/>
        <v>3.701541666666667</v>
      </c>
      <c r="AP46" s="129">
        <v>21</v>
      </c>
      <c r="AQ46" s="176">
        <f t="shared" si="6"/>
        <v>0</v>
      </c>
      <c r="AR46" s="174">
        <f t="shared" si="7"/>
        <v>0</v>
      </c>
      <c r="AS46" s="176">
        <f t="shared" si="8"/>
        <v>0</v>
      </c>
      <c r="AT46" s="176">
        <f t="shared" si="9"/>
        <v>0</v>
      </c>
      <c r="AU46" s="175">
        <f t="shared" si="10"/>
        <v>0</v>
      </c>
      <c r="AV46" s="176">
        <f t="shared" si="11"/>
        <v>-101.5988834466613</v>
      </c>
      <c r="AW46" s="175">
        <f t="shared" si="12"/>
        <v>0</v>
      </c>
      <c r="AX46" s="176">
        <f t="shared" si="1"/>
        <v>0</v>
      </c>
      <c r="AY46" s="175">
        <f t="shared" si="2"/>
        <v>0</v>
      </c>
      <c r="AZ46" s="176">
        <f t="shared" si="3"/>
        <v>0</v>
      </c>
      <c r="BA46" s="175">
        <f t="shared" si="4"/>
      </c>
      <c r="BB46" s="175">
        <f t="shared" si="5"/>
      </c>
    </row>
    <row r="47" spans="1:54" ht="12">
      <c r="A47" s="20">
        <v>3</v>
      </c>
      <c r="B47" s="9">
        <v>1</v>
      </c>
      <c r="C47" s="10">
        <v>1.2</v>
      </c>
      <c r="D47" s="92">
        <f t="shared" si="14"/>
        <v>0.5</v>
      </c>
      <c r="E47" s="93">
        <f t="shared" si="15"/>
        <v>0.6</v>
      </c>
      <c r="F47" s="94">
        <f t="shared" si="16"/>
        <v>9.62958730818791</v>
      </c>
      <c r="G47" s="9">
        <v>25</v>
      </c>
      <c r="H47" s="12">
        <v>0.64</v>
      </c>
      <c r="I47" s="10">
        <v>0.1</v>
      </c>
      <c r="J47" s="92">
        <f aca="true" t="shared" si="18" ref="J47:J76">IF(A47&gt;Na,0,(H47-xg)*COS(phir)+(I47-yg)*SIN(phir))</f>
        <v>0.14</v>
      </c>
      <c r="K47" s="95">
        <f aca="true" t="shared" si="19" ref="K47:K76">IF(A47&gt;Na,0,-(H47-xg)*SIN(phir)+(I47-yg)*COS(phir))</f>
        <v>-0.5</v>
      </c>
      <c r="L47" s="96">
        <f t="shared" si="17"/>
        <v>4.908738521234052</v>
      </c>
      <c r="M47" s="97">
        <f aca="true" t="shared" si="20" ref="M47:M76">BB28</f>
        <v>-85.04347321602022</v>
      </c>
      <c r="N47" s="91"/>
      <c r="O47" s="91"/>
      <c r="P47" s="174"/>
      <c r="Q47" s="174"/>
      <c r="R47" s="184">
        <v>0</v>
      </c>
      <c r="S47" s="185">
        <v>0.9</v>
      </c>
      <c r="Y47" s="27">
        <v>55</v>
      </c>
      <c r="Z47" s="285">
        <v>4.2</v>
      </c>
      <c r="AA47" s="285">
        <v>38</v>
      </c>
      <c r="AB47" s="285">
        <v>3.2</v>
      </c>
      <c r="AC47" s="285">
        <v>2.5</v>
      </c>
      <c r="AD47" s="285">
        <v>3.1</v>
      </c>
      <c r="AE47" s="285">
        <v>2.2</v>
      </c>
      <c r="AF47" s="285">
        <v>1.75</v>
      </c>
      <c r="AG47" s="287">
        <f t="shared" si="13"/>
        <v>3.526515151515152</v>
      </c>
      <c r="AL47" s="136"/>
      <c r="AP47" s="129">
        <v>22</v>
      </c>
      <c r="AQ47" s="176">
        <f t="shared" si="6"/>
        <v>0</v>
      </c>
      <c r="AR47" s="174">
        <f t="shared" si="7"/>
        <v>0</v>
      </c>
      <c r="AS47" s="176">
        <f t="shared" si="8"/>
        <v>0</v>
      </c>
      <c r="AT47" s="176">
        <f t="shared" si="9"/>
        <v>0</v>
      </c>
      <c r="AU47" s="175">
        <f t="shared" si="10"/>
        <v>0</v>
      </c>
      <c r="AV47" s="176">
        <f t="shared" si="11"/>
        <v>-101.5988834466613</v>
      </c>
      <c r="AW47" s="175">
        <f t="shared" si="12"/>
        <v>0</v>
      </c>
      <c r="AX47" s="176">
        <f t="shared" si="1"/>
        <v>0</v>
      </c>
      <c r="AY47" s="175">
        <f t="shared" si="2"/>
        <v>0</v>
      </c>
      <c r="AZ47" s="176">
        <f t="shared" si="3"/>
        <v>0</v>
      </c>
      <c r="BA47" s="175">
        <f t="shared" si="4"/>
      </c>
      <c r="BB47" s="175">
        <f t="shared" si="5"/>
      </c>
    </row>
    <row r="48" spans="1:54" ht="12">
      <c r="A48" s="20">
        <v>4</v>
      </c>
      <c r="B48" s="9">
        <v>1</v>
      </c>
      <c r="C48" s="10">
        <v>0</v>
      </c>
      <c r="D48" s="92">
        <f t="shared" si="14"/>
        <v>0.5</v>
      </c>
      <c r="E48" s="93">
        <f t="shared" si="15"/>
        <v>-0.6</v>
      </c>
      <c r="F48" s="94">
        <f t="shared" si="16"/>
        <v>3.361737744285368</v>
      </c>
      <c r="G48" s="9">
        <v>25</v>
      </c>
      <c r="H48" s="12">
        <v>0.9</v>
      </c>
      <c r="I48" s="10">
        <v>0.1</v>
      </c>
      <c r="J48" s="92">
        <f t="shared" si="18"/>
        <v>0.4</v>
      </c>
      <c r="K48" s="95">
        <f t="shared" si="19"/>
        <v>-0.5</v>
      </c>
      <c r="L48" s="96">
        <f t="shared" si="17"/>
        <v>4.908738521234052</v>
      </c>
      <c r="M48" s="97">
        <f t="shared" si="20"/>
        <v>18.454113754044116</v>
      </c>
      <c r="N48" s="91"/>
      <c r="O48" s="91"/>
      <c r="P48" s="174"/>
      <c r="Q48" s="174"/>
      <c r="R48" s="184">
        <v>0.8</v>
      </c>
      <c r="S48" s="185">
        <v>0.9</v>
      </c>
      <c r="Y48" s="27">
        <v>60</v>
      </c>
      <c r="Z48" s="285">
        <v>4.4</v>
      </c>
      <c r="AA48" s="285">
        <v>39</v>
      </c>
      <c r="AB48" s="285">
        <v>3</v>
      </c>
      <c r="AC48" s="285">
        <v>2.6</v>
      </c>
      <c r="AD48" s="285">
        <v>2.9</v>
      </c>
      <c r="AE48" s="285">
        <v>2.3</v>
      </c>
      <c r="AF48" s="285">
        <v>1.6</v>
      </c>
      <c r="AG48" s="287">
        <f t="shared" si="13"/>
        <v>3.450416666666668</v>
      </c>
      <c r="AL48" s="136"/>
      <c r="AP48" s="129">
        <v>23</v>
      </c>
      <c r="AQ48" s="176">
        <f t="shared" si="6"/>
        <v>0</v>
      </c>
      <c r="AR48" s="174">
        <f t="shared" si="7"/>
        <v>0</v>
      </c>
      <c r="AS48" s="176">
        <f t="shared" si="8"/>
        <v>0</v>
      </c>
      <c r="AT48" s="176">
        <f t="shared" si="9"/>
        <v>0</v>
      </c>
      <c r="AU48" s="175">
        <f t="shared" si="10"/>
        <v>0</v>
      </c>
      <c r="AV48" s="176">
        <f t="shared" si="11"/>
        <v>-101.5988834466613</v>
      </c>
      <c r="AW48" s="175">
        <f t="shared" si="12"/>
        <v>0</v>
      </c>
      <c r="AX48" s="176">
        <f t="shared" si="1"/>
        <v>0</v>
      </c>
      <c r="AY48" s="175">
        <f t="shared" si="2"/>
        <v>0</v>
      </c>
      <c r="AZ48" s="176">
        <f t="shared" si="3"/>
        <v>0</v>
      </c>
      <c r="BA48" s="175">
        <f t="shared" si="4"/>
      </c>
      <c r="BB48" s="175">
        <f t="shared" si="5"/>
      </c>
    </row>
    <row r="49" spans="1:54" ht="12">
      <c r="A49" s="20">
        <v>5</v>
      </c>
      <c r="B49" s="9"/>
      <c r="C49" s="10"/>
      <c r="D49" s="92">
        <f t="shared" si="14"/>
        <v>-0.5</v>
      </c>
      <c r="E49" s="93">
        <f t="shared" si="15"/>
        <v>-0.6</v>
      </c>
      <c r="F49" s="94">
        <f t="shared" si="16"/>
      </c>
      <c r="G49" s="9">
        <v>25</v>
      </c>
      <c r="H49" s="12">
        <v>0.1</v>
      </c>
      <c r="I49" s="10">
        <v>1.1</v>
      </c>
      <c r="J49" s="92">
        <f t="shared" si="18"/>
        <v>-0.4</v>
      </c>
      <c r="K49" s="95">
        <f t="shared" si="19"/>
        <v>0.5000000000000001</v>
      </c>
      <c r="L49" s="96">
        <f t="shared" si="17"/>
        <v>4.908738521234052</v>
      </c>
      <c r="M49" s="97">
        <f t="shared" si="20"/>
        <v>-221.65188064736668</v>
      </c>
      <c r="N49" s="91"/>
      <c r="O49" s="91"/>
      <c r="P49" s="174"/>
      <c r="Q49" s="174"/>
      <c r="R49" s="184">
        <v>0.8</v>
      </c>
      <c r="S49" s="185">
        <v>0.75</v>
      </c>
      <c r="Y49" s="27">
        <v>70</v>
      </c>
      <c r="Z49" s="285">
        <v>4.6</v>
      </c>
      <c r="AA49" s="285">
        <v>41</v>
      </c>
      <c r="AB49" s="285">
        <v>2.8</v>
      </c>
      <c r="AC49" s="285">
        <v>2.7</v>
      </c>
      <c r="AD49" s="285">
        <v>2.7</v>
      </c>
      <c r="AE49" s="285">
        <v>2.4</v>
      </c>
      <c r="AF49" s="285">
        <v>1.45</v>
      </c>
      <c r="AG49" s="287">
        <f t="shared" si="13"/>
        <v>3.2287500000000007</v>
      </c>
      <c r="AL49" s="136"/>
      <c r="AP49" s="129">
        <v>24</v>
      </c>
      <c r="AQ49" s="176">
        <f t="shared" si="6"/>
        <v>0</v>
      </c>
      <c r="AR49" s="174">
        <f t="shared" si="7"/>
        <v>0</v>
      </c>
      <c r="AS49" s="176">
        <f t="shared" si="8"/>
        <v>0</v>
      </c>
      <c r="AT49" s="176">
        <f t="shared" si="9"/>
        <v>0</v>
      </c>
      <c r="AU49" s="175">
        <f t="shared" si="10"/>
        <v>0</v>
      </c>
      <c r="AV49" s="176">
        <f t="shared" si="11"/>
        <v>-101.5988834466613</v>
      </c>
      <c r="AW49" s="175">
        <f t="shared" si="12"/>
        <v>0</v>
      </c>
      <c r="AX49" s="176">
        <f t="shared" si="1"/>
        <v>0</v>
      </c>
      <c r="AY49" s="175">
        <f t="shared" si="2"/>
        <v>0</v>
      </c>
      <c r="AZ49" s="176">
        <f t="shared" si="3"/>
        <v>0</v>
      </c>
      <c r="BA49" s="175">
        <f t="shared" si="4"/>
      </c>
      <c r="BB49" s="175">
        <f t="shared" si="5"/>
      </c>
    </row>
    <row r="50" spans="1:54" ht="12">
      <c r="A50" s="20">
        <v>6</v>
      </c>
      <c r="B50" s="9"/>
      <c r="C50" s="10"/>
      <c r="D50" s="92">
        <f t="shared" si="14"/>
        <v>0</v>
      </c>
      <c r="E50" s="93">
        <f t="shared" si="15"/>
        <v>0</v>
      </c>
      <c r="F50" s="94">
        <f t="shared" si="16"/>
      </c>
      <c r="G50" s="9">
        <v>25</v>
      </c>
      <c r="H50" s="12">
        <v>0.36</v>
      </c>
      <c r="I50" s="10">
        <v>1.1</v>
      </c>
      <c r="J50" s="92">
        <f t="shared" si="18"/>
        <v>-0.14</v>
      </c>
      <c r="K50" s="95">
        <f t="shared" si="19"/>
        <v>0.5000000000000001</v>
      </c>
      <c r="L50" s="96">
        <f t="shared" si="17"/>
        <v>4.908738521234052</v>
      </c>
      <c r="M50" s="97">
        <f t="shared" si="20"/>
        <v>-118.15429367730238</v>
      </c>
      <c r="N50" s="91"/>
      <c r="O50" s="91"/>
      <c r="P50" s="174"/>
      <c r="Q50" s="174"/>
      <c r="R50" s="184">
        <v>0.5</v>
      </c>
      <c r="S50" s="185">
        <v>0.75</v>
      </c>
      <c r="Y50" s="27">
        <v>80</v>
      </c>
      <c r="Z50" s="285">
        <v>4.8</v>
      </c>
      <c r="AA50" s="285">
        <v>42</v>
      </c>
      <c r="AB50" s="285">
        <v>2.8</v>
      </c>
      <c r="AC50" s="285">
        <v>2.8</v>
      </c>
      <c r="AD50" s="285">
        <v>2.6</v>
      </c>
      <c r="AE50" s="285">
        <v>2.5</v>
      </c>
      <c r="AF50" s="285">
        <v>1.4</v>
      </c>
      <c r="AG50" s="287">
        <f t="shared" si="13"/>
        <v>3.0012499999999998</v>
      </c>
      <c r="AL50" s="136"/>
      <c r="AP50" s="129">
        <v>25</v>
      </c>
      <c r="AQ50" s="176">
        <f t="shared" si="6"/>
        <v>0</v>
      </c>
      <c r="AR50" s="174">
        <f t="shared" si="7"/>
        <v>0</v>
      </c>
      <c r="AS50" s="176">
        <f t="shared" si="8"/>
        <v>0</v>
      </c>
      <c r="AT50" s="176">
        <f t="shared" si="9"/>
        <v>0</v>
      </c>
      <c r="AU50" s="175">
        <f t="shared" si="10"/>
        <v>0</v>
      </c>
      <c r="AV50" s="176">
        <f t="shared" si="11"/>
        <v>-101.5988834466613</v>
      </c>
      <c r="AW50" s="175">
        <f t="shared" si="12"/>
        <v>0</v>
      </c>
      <c r="AX50" s="176">
        <f t="shared" si="1"/>
        <v>0</v>
      </c>
      <c r="AY50" s="175">
        <f t="shared" si="2"/>
        <v>0</v>
      </c>
      <c r="AZ50" s="176">
        <f t="shared" si="3"/>
        <v>0</v>
      </c>
      <c r="BA50" s="175">
        <f t="shared" si="4"/>
      </c>
      <c r="BB50" s="175">
        <f t="shared" si="5"/>
      </c>
    </row>
    <row r="51" spans="1:54" ht="12">
      <c r="A51" s="20">
        <v>7</v>
      </c>
      <c r="B51" s="9"/>
      <c r="C51" s="10"/>
      <c r="D51" s="92">
        <f t="shared" si="14"/>
        <v>0</v>
      </c>
      <c r="E51" s="93">
        <f t="shared" si="15"/>
        <v>0</v>
      </c>
      <c r="F51" s="94">
        <f t="shared" si="16"/>
      </c>
      <c r="G51" s="9">
        <v>25</v>
      </c>
      <c r="H51" s="12">
        <v>0.64</v>
      </c>
      <c r="I51" s="10">
        <v>1.1</v>
      </c>
      <c r="J51" s="92">
        <f t="shared" si="18"/>
        <v>0.14</v>
      </c>
      <c r="K51" s="95">
        <f t="shared" si="19"/>
        <v>0.5000000000000001</v>
      </c>
      <c r="L51" s="96">
        <f t="shared" si="17"/>
        <v>4.908738521234052</v>
      </c>
      <c r="M51" s="97">
        <f t="shared" si="20"/>
        <v>-6.695353863386923</v>
      </c>
      <c r="N51" s="91"/>
      <c r="O51" s="91"/>
      <c r="P51" s="174"/>
      <c r="Q51" s="174"/>
      <c r="R51" s="184">
        <v>0.5</v>
      </c>
      <c r="S51" s="185">
        <v>0.2</v>
      </c>
      <c r="Y51" s="62">
        <v>90</v>
      </c>
      <c r="Z51" s="289">
        <v>5</v>
      </c>
      <c r="AA51" s="289">
        <v>44</v>
      </c>
      <c r="AB51" s="289">
        <v>2.8</v>
      </c>
      <c r="AC51" s="289">
        <v>2.8</v>
      </c>
      <c r="AD51" s="289">
        <v>2.6</v>
      </c>
      <c r="AE51" s="289">
        <v>2.6</v>
      </c>
      <c r="AF51" s="289">
        <v>1.4</v>
      </c>
      <c r="AG51" s="290">
        <f t="shared" si="13"/>
        <v>2.7948148148148153</v>
      </c>
      <c r="AL51" s="136"/>
      <c r="AP51" s="129">
        <v>26</v>
      </c>
      <c r="AQ51" s="176">
        <f t="shared" si="6"/>
        <v>0</v>
      </c>
      <c r="AR51" s="174">
        <f t="shared" si="7"/>
        <v>0</v>
      </c>
      <c r="AS51" s="176">
        <f t="shared" si="8"/>
        <v>0</v>
      </c>
      <c r="AT51" s="176">
        <f t="shared" si="9"/>
        <v>0</v>
      </c>
      <c r="AU51" s="175">
        <f t="shared" si="10"/>
        <v>0</v>
      </c>
      <c r="AV51" s="176">
        <f t="shared" si="11"/>
        <v>-101.5988834466613</v>
      </c>
      <c r="AW51" s="175">
        <f t="shared" si="12"/>
        <v>0</v>
      </c>
      <c r="AX51" s="176">
        <f t="shared" si="1"/>
        <v>0</v>
      </c>
      <c r="AY51" s="175">
        <f t="shared" si="2"/>
        <v>0</v>
      </c>
      <c r="AZ51" s="176">
        <f t="shared" si="3"/>
        <v>0</v>
      </c>
      <c r="BA51" s="175">
        <f t="shared" si="4"/>
      </c>
      <c r="BB51" s="175">
        <f t="shared" si="5"/>
      </c>
    </row>
    <row r="52" spans="1:54" ht="12">
      <c r="A52" s="20">
        <v>8</v>
      </c>
      <c r="B52" s="9"/>
      <c r="C52" s="10"/>
      <c r="D52" s="92">
        <f t="shared" si="14"/>
        <v>0</v>
      </c>
      <c r="E52" s="93">
        <f t="shared" si="15"/>
        <v>0</v>
      </c>
      <c r="F52" s="94">
        <f t="shared" si="16"/>
      </c>
      <c r="G52" s="9">
        <v>25</v>
      </c>
      <c r="H52" s="12">
        <v>0.9</v>
      </c>
      <c r="I52" s="10">
        <v>1.1</v>
      </c>
      <c r="J52" s="92">
        <f t="shared" si="18"/>
        <v>0.4</v>
      </c>
      <c r="K52" s="95">
        <f t="shared" si="19"/>
        <v>0.5000000000000001</v>
      </c>
      <c r="L52" s="96">
        <f t="shared" si="17"/>
        <v>4.908738521234052</v>
      </c>
      <c r="M52" s="97">
        <f t="shared" si="20"/>
        <v>96.80223310667743</v>
      </c>
      <c r="N52" s="91"/>
      <c r="O52" s="91"/>
      <c r="P52" s="174"/>
      <c r="Q52" s="174"/>
      <c r="R52" s="184">
        <v>0.6</v>
      </c>
      <c r="S52" s="185">
        <v>0.2</v>
      </c>
      <c r="Y52" s="238"/>
      <c r="Z52" s="238"/>
      <c r="AA52" s="238"/>
      <c r="AB52" s="238"/>
      <c r="AC52" s="136"/>
      <c r="AD52" s="136"/>
      <c r="AE52" s="136"/>
      <c r="AF52" s="136"/>
      <c r="AP52" s="129">
        <v>27</v>
      </c>
      <c r="AQ52" s="176">
        <f t="shared" si="6"/>
        <v>0</v>
      </c>
      <c r="AR52" s="174">
        <f t="shared" si="7"/>
        <v>0</v>
      </c>
      <c r="AS52" s="176">
        <f t="shared" si="8"/>
        <v>0</v>
      </c>
      <c r="AT52" s="176">
        <f t="shared" si="9"/>
        <v>0</v>
      </c>
      <c r="AU52" s="175">
        <f t="shared" si="10"/>
        <v>0</v>
      </c>
      <c r="AV52" s="176">
        <f t="shared" si="11"/>
        <v>-101.5988834466613</v>
      </c>
      <c r="AW52" s="175">
        <f t="shared" si="12"/>
        <v>0</v>
      </c>
      <c r="AX52" s="176">
        <f t="shared" si="1"/>
        <v>0</v>
      </c>
      <c r="AY52" s="175">
        <f t="shared" si="2"/>
        <v>0</v>
      </c>
      <c r="AZ52" s="176">
        <f t="shared" si="3"/>
        <v>0</v>
      </c>
      <c r="BA52" s="175">
        <f t="shared" si="4"/>
      </c>
      <c r="BB52" s="175">
        <f t="shared" si="5"/>
      </c>
    </row>
    <row r="53" spans="1:54" ht="12">
      <c r="A53" s="20">
        <v>9</v>
      </c>
      <c r="B53" s="9"/>
      <c r="C53" s="10"/>
      <c r="D53" s="92">
        <f t="shared" si="14"/>
        <v>0</v>
      </c>
      <c r="E53" s="93">
        <f t="shared" si="15"/>
        <v>0</v>
      </c>
      <c r="F53" s="94">
        <f t="shared" si="16"/>
      </c>
      <c r="G53" s="9">
        <v>25</v>
      </c>
      <c r="H53" s="12">
        <v>0.1</v>
      </c>
      <c r="I53" s="10">
        <v>0.35</v>
      </c>
      <c r="J53" s="92">
        <f t="shared" si="18"/>
        <v>-0.4</v>
      </c>
      <c r="K53" s="95">
        <f t="shared" si="19"/>
        <v>-0.25</v>
      </c>
      <c r="L53" s="96">
        <f t="shared" si="17"/>
        <v>4.908738521234052</v>
      </c>
      <c r="M53" s="97">
        <f t="shared" si="20"/>
        <v>-280.4129701618417</v>
      </c>
      <c r="N53" s="91"/>
      <c r="O53" s="91"/>
      <c r="P53" s="174"/>
      <c r="Q53" s="174"/>
      <c r="R53" s="184">
        <v>0.6</v>
      </c>
      <c r="S53" s="185">
        <v>0</v>
      </c>
      <c r="Y53" s="238"/>
      <c r="Z53" s="238"/>
      <c r="AA53" s="238"/>
      <c r="AB53" s="238"/>
      <c r="AC53" s="136"/>
      <c r="AD53" s="136"/>
      <c r="AE53" s="136"/>
      <c r="AF53" s="136"/>
      <c r="AP53" s="129">
        <v>28</v>
      </c>
      <c r="AQ53" s="176">
        <f t="shared" si="6"/>
        <v>0</v>
      </c>
      <c r="AR53" s="174">
        <f t="shared" si="7"/>
        <v>0</v>
      </c>
      <c r="AS53" s="176">
        <f t="shared" si="8"/>
        <v>0</v>
      </c>
      <c r="AT53" s="176">
        <f t="shared" si="9"/>
        <v>0</v>
      </c>
      <c r="AU53" s="175">
        <f t="shared" si="10"/>
        <v>0</v>
      </c>
      <c r="AV53" s="176">
        <f t="shared" si="11"/>
        <v>-101.5988834466613</v>
      </c>
      <c r="AW53" s="175">
        <f t="shared" si="12"/>
        <v>0</v>
      </c>
      <c r="AX53" s="176">
        <f t="shared" si="1"/>
        <v>0</v>
      </c>
      <c r="AY53" s="175">
        <f t="shared" si="2"/>
        <v>0</v>
      </c>
      <c r="AZ53" s="176">
        <f t="shared" si="3"/>
        <v>0</v>
      </c>
      <c r="BA53" s="175">
        <f t="shared" si="4"/>
      </c>
      <c r="BB53" s="175">
        <f t="shared" si="5"/>
      </c>
    </row>
    <row r="54" spans="1:54" ht="12">
      <c r="A54" s="20">
        <v>10</v>
      </c>
      <c r="B54" s="9"/>
      <c r="C54" s="10"/>
      <c r="D54" s="92">
        <f t="shared" si="14"/>
        <v>0</v>
      </c>
      <c r="E54" s="93">
        <f t="shared" si="15"/>
        <v>0</v>
      </c>
      <c r="F54" s="94">
        <f t="shared" si="16"/>
      </c>
      <c r="G54" s="9">
        <v>25</v>
      </c>
      <c r="H54" s="12">
        <v>0.9</v>
      </c>
      <c r="I54" s="10">
        <v>0.36</v>
      </c>
      <c r="J54" s="92">
        <f t="shared" si="18"/>
        <v>0.4</v>
      </c>
      <c r="K54" s="95">
        <f t="shared" si="19"/>
        <v>-0.24</v>
      </c>
      <c r="L54" s="96">
        <f t="shared" si="17"/>
        <v>4.908738521234052</v>
      </c>
      <c r="M54" s="97">
        <f t="shared" si="20"/>
        <v>38.82462478572878</v>
      </c>
      <c r="N54" s="91"/>
      <c r="O54" s="91"/>
      <c r="P54" s="174"/>
      <c r="Q54" s="174"/>
      <c r="R54" s="174"/>
      <c r="Y54" s="238"/>
      <c r="Z54" s="238"/>
      <c r="AA54" s="238"/>
      <c r="AB54" s="238"/>
      <c r="AC54" s="136"/>
      <c r="AD54" s="136"/>
      <c r="AE54" s="136"/>
      <c r="AF54" s="136"/>
      <c r="AP54" s="129">
        <v>29</v>
      </c>
      <c r="AQ54" s="176">
        <f t="shared" si="6"/>
        <v>0</v>
      </c>
      <c r="AR54" s="174">
        <f t="shared" si="7"/>
        <v>0</v>
      </c>
      <c r="AS54" s="176">
        <f t="shared" si="8"/>
        <v>0</v>
      </c>
      <c r="AT54" s="176">
        <f t="shared" si="9"/>
        <v>0</v>
      </c>
      <c r="AU54" s="175">
        <f t="shared" si="10"/>
        <v>0</v>
      </c>
      <c r="AV54" s="176">
        <f t="shared" si="11"/>
        <v>-101.5988834466613</v>
      </c>
      <c r="AW54" s="175">
        <f t="shared" si="12"/>
        <v>0</v>
      </c>
      <c r="AX54" s="176">
        <f t="shared" si="1"/>
        <v>0</v>
      </c>
      <c r="AY54" s="175">
        <f t="shared" si="2"/>
        <v>0</v>
      </c>
      <c r="AZ54" s="176">
        <f t="shared" si="3"/>
        <v>0</v>
      </c>
      <c r="BA54" s="175">
        <f t="shared" si="4"/>
      </c>
      <c r="BB54" s="175">
        <f t="shared" si="5"/>
      </c>
    </row>
    <row r="55" spans="1:54" ht="12">
      <c r="A55" s="20">
        <v>11</v>
      </c>
      <c r="B55" s="9"/>
      <c r="C55" s="10"/>
      <c r="D55" s="92">
        <f t="shared" si="14"/>
        <v>0</v>
      </c>
      <c r="E55" s="93">
        <f t="shared" si="15"/>
        <v>0</v>
      </c>
      <c r="F55" s="94">
        <f t="shared" si="16"/>
      </c>
      <c r="G55" s="9">
        <v>25</v>
      </c>
      <c r="H55" s="12">
        <v>0.1</v>
      </c>
      <c r="I55" s="10">
        <v>0.6</v>
      </c>
      <c r="J55" s="92">
        <f t="shared" si="18"/>
        <v>-0.4</v>
      </c>
      <c r="K55" s="95">
        <f t="shared" si="19"/>
        <v>0</v>
      </c>
      <c r="L55" s="96">
        <f t="shared" si="17"/>
        <v>4.908738521234052</v>
      </c>
      <c r="M55" s="97">
        <f t="shared" si="20"/>
        <v>-260.82594032368337</v>
      </c>
      <c r="N55" s="124"/>
      <c r="O55" s="124"/>
      <c r="P55" s="174"/>
      <c r="Q55" s="174"/>
      <c r="R55" s="186" t="s">
        <v>172</v>
      </c>
      <c r="S55" s="187"/>
      <c r="T55" s="239"/>
      <c r="Y55" s="238"/>
      <c r="Z55" s="238"/>
      <c r="AA55" s="238"/>
      <c r="AB55" s="238"/>
      <c r="AC55" s="136"/>
      <c r="AD55" s="136"/>
      <c r="AE55" s="136"/>
      <c r="AF55" s="136"/>
      <c r="AP55" s="129">
        <v>30</v>
      </c>
      <c r="AQ55" s="176">
        <f t="shared" si="6"/>
        <v>0</v>
      </c>
      <c r="AR55" s="174">
        <f t="shared" si="7"/>
        <v>0</v>
      </c>
      <c r="AS55" s="176">
        <f t="shared" si="8"/>
        <v>0</v>
      </c>
      <c r="AT55" s="176">
        <f t="shared" si="9"/>
        <v>0</v>
      </c>
      <c r="AU55" s="175">
        <f t="shared" si="10"/>
        <v>0</v>
      </c>
      <c r="AV55" s="176">
        <f t="shared" si="11"/>
        <v>-101.5988834466613</v>
      </c>
      <c r="AW55" s="175">
        <f t="shared" si="12"/>
        <v>0</v>
      </c>
      <c r="AX55" s="176">
        <f t="shared" si="1"/>
        <v>0</v>
      </c>
      <c r="AY55" s="175">
        <f t="shared" si="2"/>
        <v>0</v>
      </c>
      <c r="AZ55" s="176">
        <f t="shared" si="3"/>
        <v>0</v>
      </c>
      <c r="BA55" s="175">
        <f t="shared" si="4"/>
      </c>
      <c r="BB55" s="175">
        <f t="shared" si="5"/>
      </c>
    </row>
    <row r="56" spans="1:54" ht="12">
      <c r="A56" s="20">
        <v>12</v>
      </c>
      <c r="B56" s="9"/>
      <c r="C56" s="10"/>
      <c r="D56" s="92">
        <f t="shared" si="14"/>
        <v>0</v>
      </c>
      <c r="E56" s="93">
        <f t="shared" si="15"/>
        <v>0</v>
      </c>
      <c r="F56" s="94">
        <f t="shared" si="16"/>
      </c>
      <c r="G56" s="9">
        <v>25</v>
      </c>
      <c r="H56" s="12">
        <v>0.9</v>
      </c>
      <c r="I56" s="10">
        <v>0.6</v>
      </c>
      <c r="J56" s="92">
        <f t="shared" si="18"/>
        <v>0.4</v>
      </c>
      <c r="K56" s="95">
        <f t="shared" si="19"/>
        <v>0</v>
      </c>
      <c r="L56" s="96">
        <f t="shared" si="17"/>
        <v>4.908738521234052</v>
      </c>
      <c r="M56" s="97">
        <f t="shared" si="20"/>
        <v>57.628173430360754</v>
      </c>
      <c r="N56" s="91"/>
      <c r="O56" s="91"/>
      <c r="P56" s="174"/>
      <c r="Q56" s="174"/>
      <c r="R56" s="138" t="s">
        <v>20</v>
      </c>
      <c r="S56" s="152" t="s">
        <v>185</v>
      </c>
      <c r="T56" s="228" t="s">
        <v>186</v>
      </c>
      <c r="Y56" s="238"/>
      <c r="Z56" s="238"/>
      <c r="AA56" s="238"/>
      <c r="AB56" s="238"/>
      <c r="AC56" s="136"/>
      <c r="AD56" s="136"/>
      <c r="AE56" s="136"/>
      <c r="AF56" s="136"/>
      <c r="AP56" s="129">
        <v>31</v>
      </c>
      <c r="AQ56" s="176">
        <f t="shared" si="6"/>
        <v>0</v>
      </c>
      <c r="AR56" s="174">
        <f t="shared" si="7"/>
        <v>0</v>
      </c>
      <c r="AS56" s="176">
        <f t="shared" si="8"/>
        <v>0</v>
      </c>
      <c r="AT56" s="176">
        <f t="shared" si="9"/>
        <v>0</v>
      </c>
      <c r="AU56" s="175">
        <f t="shared" si="10"/>
        <v>0</v>
      </c>
      <c r="AV56" s="176">
        <f t="shared" si="11"/>
        <v>-101.5988834466613</v>
      </c>
      <c r="AW56" s="175">
        <f t="shared" si="12"/>
        <v>0</v>
      </c>
      <c r="AX56" s="176">
        <f t="shared" si="1"/>
        <v>0</v>
      </c>
      <c r="AY56" s="175">
        <f t="shared" si="2"/>
        <v>0</v>
      </c>
      <c r="AZ56" s="176">
        <f t="shared" si="3"/>
        <v>0</v>
      </c>
      <c r="BA56" s="175">
        <f t="shared" si="4"/>
      </c>
      <c r="BB56" s="175">
        <f t="shared" si="5"/>
      </c>
    </row>
    <row r="57" spans="1:55" ht="12.75" thickBot="1">
      <c r="A57" s="20">
        <v>13</v>
      </c>
      <c r="B57" s="9"/>
      <c r="C57" s="10"/>
      <c r="D57" s="92">
        <f t="shared" si="14"/>
        <v>0</v>
      </c>
      <c r="E57" s="93">
        <f t="shared" si="15"/>
        <v>0</v>
      </c>
      <c r="F57" s="94">
        <f t="shared" si="16"/>
      </c>
      <c r="G57" s="9">
        <v>25</v>
      </c>
      <c r="H57" s="12">
        <v>0.1</v>
      </c>
      <c r="I57" s="10">
        <v>0.85</v>
      </c>
      <c r="J57" s="92">
        <f t="shared" si="18"/>
        <v>-0.4</v>
      </c>
      <c r="K57" s="95">
        <f t="shared" si="19"/>
        <v>0.25</v>
      </c>
      <c r="L57" s="96">
        <f t="shared" si="17"/>
        <v>4.908738521234052</v>
      </c>
      <c r="M57" s="97">
        <f t="shared" si="20"/>
        <v>-241.23891048552508</v>
      </c>
      <c r="N57" s="125"/>
      <c r="O57" s="125"/>
      <c r="P57" s="188"/>
      <c r="Q57" s="188"/>
      <c r="R57" s="189" t="s">
        <v>188</v>
      </c>
      <c r="S57" s="190" t="s">
        <v>187</v>
      </c>
      <c r="T57" s="240" t="s">
        <v>187</v>
      </c>
      <c r="U57" s="222"/>
      <c r="V57" s="222"/>
      <c r="W57" s="222"/>
      <c r="X57" s="222"/>
      <c r="Y57" s="241"/>
      <c r="Z57" s="241"/>
      <c r="AA57" s="241"/>
      <c r="AB57" s="241"/>
      <c r="AC57" s="191"/>
      <c r="AD57" s="191"/>
      <c r="AE57" s="191"/>
      <c r="AF57" s="191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>
        <v>32</v>
      </c>
      <c r="AQ57" s="192">
        <f t="shared" si="6"/>
        <v>0</v>
      </c>
      <c r="AR57" s="193">
        <f t="shared" si="7"/>
        <v>0</v>
      </c>
      <c r="AS57" s="192">
        <f t="shared" si="8"/>
        <v>0</v>
      </c>
      <c r="AT57" s="192">
        <f t="shared" si="9"/>
        <v>0</v>
      </c>
      <c r="AU57" s="194">
        <f t="shared" si="10"/>
        <v>0</v>
      </c>
      <c r="AV57" s="192">
        <f t="shared" si="11"/>
        <v>-101.5988834466613</v>
      </c>
      <c r="AW57" s="194">
        <f t="shared" si="12"/>
        <v>0</v>
      </c>
      <c r="AX57" s="192">
        <f t="shared" si="1"/>
        <v>0</v>
      </c>
      <c r="AY57" s="194">
        <f t="shared" si="2"/>
        <v>0</v>
      </c>
      <c r="AZ57" s="192">
        <f t="shared" si="3"/>
        <v>0</v>
      </c>
      <c r="BA57" s="194">
        <f t="shared" si="4"/>
      </c>
      <c r="BB57" s="194">
        <f t="shared" si="5"/>
      </c>
      <c r="BC57" s="130"/>
    </row>
    <row r="58" spans="1:54" ht="12.75" thickTop="1">
      <c r="A58" s="20">
        <v>14</v>
      </c>
      <c r="B58" s="9"/>
      <c r="C58" s="10"/>
      <c r="D58" s="92">
        <f t="shared" si="14"/>
        <v>0</v>
      </c>
      <c r="E58" s="93">
        <f t="shared" si="15"/>
        <v>0</v>
      </c>
      <c r="F58" s="94">
        <f t="shared" si="16"/>
      </c>
      <c r="G58" s="9">
        <v>25</v>
      </c>
      <c r="H58" s="12">
        <v>0.9</v>
      </c>
      <c r="I58" s="10">
        <v>0.85</v>
      </c>
      <c r="J58" s="92">
        <f t="shared" si="18"/>
        <v>0.4</v>
      </c>
      <c r="K58" s="95">
        <f t="shared" si="19"/>
        <v>0.25</v>
      </c>
      <c r="L58" s="96">
        <f t="shared" si="17"/>
        <v>4.908738521234052</v>
      </c>
      <c r="M58" s="97">
        <f t="shared" si="20"/>
        <v>77.21520326851906</v>
      </c>
      <c r="N58" s="91"/>
      <c r="O58" s="91"/>
      <c r="P58" s="174"/>
      <c r="Q58" s="174"/>
      <c r="R58" s="182">
        <v>20</v>
      </c>
      <c r="S58" s="195">
        <v>0.23</v>
      </c>
      <c r="T58" s="242">
        <v>0.03</v>
      </c>
      <c r="Y58" s="238"/>
      <c r="Z58" s="238"/>
      <c r="AA58" s="238"/>
      <c r="AB58" s="238"/>
      <c r="AC58" s="136"/>
      <c r="AD58" s="136"/>
      <c r="AE58" s="136"/>
      <c r="AF58" s="136"/>
      <c r="AP58" s="128" t="s">
        <v>158</v>
      </c>
      <c r="AQ58" s="196">
        <f>MAX(AQ26:AQ57)</f>
        <v>47.1345</v>
      </c>
      <c r="AR58" s="197">
        <f>MAX(AR26:AR57)</f>
        <v>567.30575</v>
      </c>
      <c r="AS58" s="198">
        <f aca="true" t="shared" si="21" ref="AS58:BB58">MAX(AS26:AS57)</f>
        <v>5.583522621235851</v>
      </c>
      <c r="AT58" s="197">
        <f t="shared" si="21"/>
        <v>68.54379941020734</v>
      </c>
      <c r="AU58" s="198">
        <f t="shared" si="21"/>
        <v>9.62958730818791</v>
      </c>
      <c r="AV58" s="197">
        <f t="shared" si="21"/>
        <v>96.80223310667743</v>
      </c>
      <c r="AW58" s="198">
        <f t="shared" si="21"/>
        <v>0</v>
      </c>
      <c r="AX58" s="197">
        <f t="shared" si="21"/>
        <v>0</v>
      </c>
      <c r="AY58" s="198">
        <f t="shared" si="21"/>
        <v>0</v>
      </c>
      <c r="AZ58" s="197">
        <f t="shared" si="21"/>
        <v>0</v>
      </c>
      <c r="BA58" s="198">
        <f t="shared" si="21"/>
        <v>9.62958730818791</v>
      </c>
      <c r="BB58" s="197">
        <f t="shared" si="21"/>
        <v>96.80223310667743</v>
      </c>
    </row>
    <row r="59" spans="1:54" ht="12">
      <c r="A59" s="20">
        <v>15</v>
      </c>
      <c r="B59" s="9"/>
      <c r="C59" s="10"/>
      <c r="D59" s="92">
        <f t="shared" si="14"/>
        <v>0</v>
      </c>
      <c r="E59" s="93">
        <f t="shared" si="15"/>
        <v>0</v>
      </c>
      <c r="F59" s="94">
        <f t="shared" si="16"/>
      </c>
      <c r="G59" s="9"/>
      <c r="H59" s="12"/>
      <c r="I59" s="10"/>
      <c r="J59" s="92">
        <f t="shared" si="18"/>
        <v>0</v>
      </c>
      <c r="K59" s="95">
        <f t="shared" si="19"/>
        <v>0</v>
      </c>
      <c r="L59" s="96">
        <f t="shared" si="17"/>
      </c>
      <c r="M59" s="97">
        <f t="shared" si="20"/>
      </c>
      <c r="N59" s="91"/>
      <c r="O59" s="91"/>
      <c r="P59" s="174"/>
      <c r="Q59" s="174"/>
      <c r="R59" s="184">
        <v>20</v>
      </c>
      <c r="S59" s="199">
        <v>0.33</v>
      </c>
      <c r="T59" s="243">
        <v>0.03</v>
      </c>
      <c r="Y59" s="238"/>
      <c r="Z59" s="238"/>
      <c r="AA59" s="238"/>
      <c r="AB59" s="238"/>
      <c r="AC59" s="136"/>
      <c r="AD59" s="136"/>
      <c r="AE59" s="136"/>
      <c r="AF59" s="136"/>
      <c r="AH59" s="129" t="s">
        <v>155</v>
      </c>
      <c r="AJ59" s="146" t="str">
        <f>LEFT(INDEX(AT62:AT65,cas),2)</f>
        <v>PT</v>
      </c>
      <c r="AP59" s="128" t="s">
        <v>159</v>
      </c>
      <c r="AQ59" s="200">
        <f>MIN(AQ26:AQ57)</f>
        <v>-46.4645</v>
      </c>
      <c r="AR59" s="201">
        <f>MIN(AR26:AR57)</f>
        <v>-557.25575</v>
      </c>
      <c r="AS59" s="202">
        <f aca="true" t="shared" si="22" ref="AS59:BB59">MIN(AS26:AS57)</f>
        <v>-4.966524554726682</v>
      </c>
      <c r="AT59" s="201">
        <f t="shared" si="22"/>
        <v>-59.2888284125698</v>
      </c>
      <c r="AU59" s="202">
        <f t="shared" si="22"/>
        <v>0</v>
      </c>
      <c r="AV59" s="201">
        <f t="shared" si="22"/>
        <v>-300</v>
      </c>
      <c r="AW59" s="202">
        <f t="shared" si="22"/>
        <v>0</v>
      </c>
      <c r="AX59" s="201">
        <f t="shared" si="22"/>
        <v>0</v>
      </c>
      <c r="AY59" s="202">
        <f t="shared" si="22"/>
        <v>0</v>
      </c>
      <c r="AZ59" s="201">
        <f t="shared" si="22"/>
        <v>0</v>
      </c>
      <c r="BA59" s="202">
        <f t="shared" si="22"/>
        <v>0</v>
      </c>
      <c r="BB59" s="201">
        <f t="shared" si="22"/>
        <v>-300</v>
      </c>
    </row>
    <row r="60" spans="1:46" ht="12">
      <c r="A60" s="20">
        <v>16</v>
      </c>
      <c r="B60" s="9"/>
      <c r="C60" s="10"/>
      <c r="D60" s="92">
        <f t="shared" si="14"/>
        <v>0</v>
      </c>
      <c r="E60" s="93">
        <f t="shared" si="15"/>
        <v>0</v>
      </c>
      <c r="F60" s="94">
        <f t="shared" si="16"/>
      </c>
      <c r="G60" s="9"/>
      <c r="H60" s="12"/>
      <c r="I60" s="10"/>
      <c r="J60" s="92">
        <f t="shared" si="18"/>
        <v>0</v>
      </c>
      <c r="K60" s="95">
        <f t="shared" si="19"/>
        <v>0</v>
      </c>
      <c r="L60" s="96">
        <f t="shared" si="17"/>
      </c>
      <c r="M60" s="97">
        <f t="shared" si="20"/>
      </c>
      <c r="N60" s="91"/>
      <c r="O60" s="91"/>
      <c r="P60" s="174"/>
      <c r="Q60" s="174"/>
      <c r="R60" s="184">
        <v>20</v>
      </c>
      <c r="S60" s="199">
        <v>0.47</v>
      </c>
      <c r="T60" s="243">
        <v>0.03</v>
      </c>
      <c r="Y60" s="238"/>
      <c r="Z60" s="238"/>
      <c r="AA60" s="238"/>
      <c r="AB60" s="238"/>
      <c r="AC60" s="136"/>
      <c r="AD60" s="136"/>
      <c r="AE60" s="136"/>
      <c r="AF60" s="136"/>
      <c r="AH60" s="129" t="s">
        <v>154</v>
      </c>
      <c r="AI60" s="132"/>
      <c r="AJ60" s="203"/>
      <c r="AP60" s="136"/>
      <c r="AQ60" s="136"/>
      <c r="AR60" s="136"/>
      <c r="AS60" s="204"/>
      <c r="AT60" s="178"/>
    </row>
    <row r="61" spans="1:49" ht="12">
      <c r="A61" s="20">
        <v>17</v>
      </c>
      <c r="B61" s="9"/>
      <c r="C61" s="10"/>
      <c r="D61" s="92">
        <f t="shared" si="14"/>
        <v>0</v>
      </c>
      <c r="E61" s="93">
        <f t="shared" si="15"/>
        <v>0</v>
      </c>
      <c r="F61" s="94">
        <f t="shared" si="16"/>
      </c>
      <c r="G61" s="9"/>
      <c r="H61" s="12"/>
      <c r="I61" s="10"/>
      <c r="J61" s="92">
        <f t="shared" si="18"/>
        <v>0</v>
      </c>
      <c r="K61" s="95">
        <f t="shared" si="19"/>
        <v>0</v>
      </c>
      <c r="L61" s="96">
        <f t="shared" si="17"/>
      </c>
      <c r="M61" s="97">
        <f t="shared" si="20"/>
      </c>
      <c r="N61" s="91"/>
      <c r="O61" s="91"/>
      <c r="P61" s="174"/>
      <c r="Q61" s="174"/>
      <c r="R61" s="184">
        <v>20</v>
      </c>
      <c r="S61" s="199">
        <v>0.57</v>
      </c>
      <c r="T61" s="243">
        <v>0.03</v>
      </c>
      <c r="Y61" s="238"/>
      <c r="Z61" s="238"/>
      <c r="AA61" s="238"/>
      <c r="AB61" s="238"/>
      <c r="AC61" s="136"/>
      <c r="AD61" s="136"/>
      <c r="AE61" s="136"/>
      <c r="AF61" s="136"/>
      <c r="AH61" s="129" t="s">
        <v>156</v>
      </c>
      <c r="AI61" s="132"/>
      <c r="AP61" s="136"/>
      <c r="AQ61" s="136"/>
      <c r="AR61" s="136"/>
      <c r="AS61" s="156"/>
      <c r="AT61" s="205" t="s">
        <v>48</v>
      </c>
      <c r="AU61" s="206">
        <f>MAX(AS21:AZ21)</f>
        <v>2</v>
      </c>
      <c r="AV61" s="156" t="str">
        <f>IF(cas=1,"EC",IF(cas=3,"EC","PT"))</f>
        <v>PT</v>
      </c>
      <c r="AW61" s="156"/>
    </row>
    <row r="62" spans="1:47" ht="12">
      <c r="A62" s="20">
        <v>18</v>
      </c>
      <c r="B62" s="9"/>
      <c r="C62" s="10"/>
      <c r="D62" s="92">
        <f t="shared" si="14"/>
        <v>0</v>
      </c>
      <c r="E62" s="93">
        <f t="shared" si="15"/>
        <v>0</v>
      </c>
      <c r="F62" s="94">
        <f t="shared" si="16"/>
      </c>
      <c r="G62" s="9"/>
      <c r="H62" s="12"/>
      <c r="I62" s="10"/>
      <c r="J62" s="92">
        <f t="shared" si="18"/>
        <v>0</v>
      </c>
      <c r="K62" s="95">
        <f t="shared" si="19"/>
        <v>0</v>
      </c>
      <c r="L62" s="96">
        <f t="shared" si="17"/>
      </c>
      <c r="M62" s="97">
        <f t="shared" si="20"/>
      </c>
      <c r="N62" s="91"/>
      <c r="O62" s="91"/>
      <c r="P62" s="174"/>
      <c r="Q62" s="174"/>
      <c r="R62" s="184">
        <v>10</v>
      </c>
      <c r="S62" s="199">
        <v>0.23</v>
      </c>
      <c r="T62" s="243">
        <v>0.17</v>
      </c>
      <c r="Y62" s="238"/>
      <c r="Z62" s="238"/>
      <c r="AA62" s="238"/>
      <c r="AB62" s="238"/>
      <c r="AC62" s="136"/>
      <c r="AD62" s="136"/>
      <c r="AE62" s="136"/>
      <c r="AF62" s="136"/>
      <c r="AJ62" s="132" t="s">
        <v>146</v>
      </c>
      <c r="AP62" s="136"/>
      <c r="AQ62" s="136"/>
      <c r="AR62" s="136"/>
      <c r="AS62" s="128">
        <v>1</v>
      </c>
      <c r="AT62" s="129" t="s">
        <v>66</v>
      </c>
      <c r="AU62" s="129" t="s">
        <v>50</v>
      </c>
    </row>
    <row r="63" spans="1:47" ht="12">
      <c r="A63" s="20">
        <v>19</v>
      </c>
      <c r="B63" s="9"/>
      <c r="C63" s="10"/>
      <c r="D63" s="92">
        <f t="shared" si="14"/>
        <v>0</v>
      </c>
      <c r="E63" s="93">
        <f t="shared" si="15"/>
        <v>0</v>
      </c>
      <c r="F63" s="94">
        <f t="shared" si="16"/>
      </c>
      <c r="G63" s="17"/>
      <c r="H63" s="12"/>
      <c r="I63" s="13"/>
      <c r="J63" s="92">
        <f t="shared" si="18"/>
        <v>0</v>
      </c>
      <c r="K63" s="95">
        <f t="shared" si="19"/>
        <v>0</v>
      </c>
      <c r="L63" s="96">
        <f t="shared" si="17"/>
      </c>
      <c r="M63" s="97">
        <f t="shared" si="20"/>
      </c>
      <c r="N63" s="91"/>
      <c r="O63" s="91"/>
      <c r="P63" s="174"/>
      <c r="Q63" s="174"/>
      <c r="R63" s="184">
        <v>10</v>
      </c>
      <c r="S63" s="199">
        <v>0.33</v>
      </c>
      <c r="T63" s="243">
        <v>0.17</v>
      </c>
      <c r="Y63" s="238"/>
      <c r="Z63" s="238"/>
      <c r="AA63" s="238"/>
      <c r="AB63" s="238"/>
      <c r="AC63" s="136"/>
      <c r="AD63" s="136"/>
      <c r="AE63" s="136"/>
      <c r="AF63" s="136"/>
      <c r="AJ63" s="157" t="str">
        <f>axneut(Z92:Z123,AA92:AA123,Nb,u,v,w)</f>
        <v> 500000000 0-500000000 0 600000000 0-600000000 0 137137501 0 600000000 0 373322898 0-600000000 0</v>
      </c>
      <c r="AK63" s="157" t="s">
        <v>49</v>
      </c>
      <c r="AP63" s="136"/>
      <c r="AQ63" s="136"/>
      <c r="AR63" s="136"/>
      <c r="AS63" s="128">
        <v>2</v>
      </c>
      <c r="AT63" s="129" t="s">
        <v>67</v>
      </c>
      <c r="AU63" s="129" t="s">
        <v>51</v>
      </c>
    </row>
    <row r="64" spans="1:47" ht="12">
      <c r="A64" s="20">
        <v>20</v>
      </c>
      <c r="B64" s="9"/>
      <c r="C64" s="10"/>
      <c r="D64" s="92">
        <f t="shared" si="14"/>
        <v>0</v>
      </c>
      <c r="E64" s="93">
        <f t="shared" si="15"/>
        <v>0</v>
      </c>
      <c r="F64" s="94">
        <f t="shared" si="16"/>
      </c>
      <c r="G64" s="17"/>
      <c r="H64" s="12"/>
      <c r="I64" s="13"/>
      <c r="J64" s="92">
        <f t="shared" si="18"/>
        <v>0</v>
      </c>
      <c r="K64" s="95">
        <f t="shared" si="19"/>
        <v>0</v>
      </c>
      <c r="L64" s="96">
        <f t="shared" si="17"/>
      </c>
      <c r="M64" s="97">
        <f t="shared" si="20"/>
      </c>
      <c r="N64" s="91"/>
      <c r="O64" s="91"/>
      <c r="P64" s="174"/>
      <c r="Q64" s="174"/>
      <c r="R64" s="184">
        <v>10</v>
      </c>
      <c r="S64" s="199">
        <v>0.47</v>
      </c>
      <c r="T64" s="243">
        <v>0.17</v>
      </c>
      <c r="Y64" s="238"/>
      <c r="Z64" s="238"/>
      <c r="AA64" s="238"/>
      <c r="AB64" s="238"/>
      <c r="AC64" s="136"/>
      <c r="AD64" s="136"/>
      <c r="AE64" s="136"/>
      <c r="AF64" s="136"/>
      <c r="AH64" s="128" t="s">
        <v>21</v>
      </c>
      <c r="AI64" s="129">
        <v>1</v>
      </c>
      <c r="AJ64" s="129">
        <f aca="true" t="shared" si="23" ref="AJ64:AJ71">macf(AJ$63,$AI64)</f>
        <v>0.5</v>
      </c>
      <c r="AP64" s="136"/>
      <c r="AQ64" s="136"/>
      <c r="AR64" s="136"/>
      <c r="AS64" s="128">
        <v>3</v>
      </c>
      <c r="AT64" s="129" t="s">
        <v>68</v>
      </c>
      <c r="AU64" s="129" t="s">
        <v>52</v>
      </c>
    </row>
    <row r="65" spans="1:49" ht="12">
      <c r="A65" s="20">
        <v>21</v>
      </c>
      <c r="B65" s="9"/>
      <c r="C65" s="10"/>
      <c r="D65" s="92">
        <f t="shared" si="14"/>
        <v>0</v>
      </c>
      <c r="E65" s="93">
        <f t="shared" si="15"/>
        <v>0</v>
      </c>
      <c r="F65" s="94">
        <f t="shared" si="16"/>
      </c>
      <c r="G65" s="17"/>
      <c r="H65" s="12"/>
      <c r="I65" s="13"/>
      <c r="J65" s="92">
        <f t="shared" si="18"/>
        <v>0</v>
      </c>
      <c r="K65" s="95">
        <f t="shared" si="19"/>
        <v>0</v>
      </c>
      <c r="L65" s="96">
        <f t="shared" si="17"/>
      </c>
      <c r="M65" s="97">
        <f t="shared" si="20"/>
      </c>
      <c r="N65" s="91"/>
      <c r="O65" s="91"/>
      <c r="P65" s="174"/>
      <c r="Q65" s="174"/>
      <c r="R65" s="184">
        <v>10</v>
      </c>
      <c r="S65" s="199">
        <v>0.57</v>
      </c>
      <c r="T65" s="243">
        <v>0.17</v>
      </c>
      <c r="Y65" s="238"/>
      <c r="Z65" s="238"/>
      <c r="AA65" s="238"/>
      <c r="AB65" s="238"/>
      <c r="AC65" s="136"/>
      <c r="AD65" s="136"/>
      <c r="AE65" s="136"/>
      <c r="AF65" s="136"/>
      <c r="AH65" s="128" t="s">
        <v>22</v>
      </c>
      <c r="AI65" s="129">
        <v>2</v>
      </c>
      <c r="AJ65" s="129">
        <f t="shared" si="23"/>
        <v>-0.5</v>
      </c>
      <c r="AP65" s="136"/>
      <c r="AQ65" s="136"/>
      <c r="AR65" s="136"/>
      <c r="AS65" s="207">
        <v>4</v>
      </c>
      <c r="AT65" s="161" t="s">
        <v>69</v>
      </c>
      <c r="AU65" s="129" t="s">
        <v>53</v>
      </c>
      <c r="AV65" s="161"/>
      <c r="AW65" s="161"/>
    </row>
    <row r="66" spans="1:44" ht="12">
      <c r="A66" s="20">
        <v>22</v>
      </c>
      <c r="B66" s="9"/>
      <c r="C66" s="10"/>
      <c r="D66" s="92">
        <f t="shared" si="14"/>
        <v>0</v>
      </c>
      <c r="E66" s="93">
        <f t="shared" si="15"/>
        <v>0</v>
      </c>
      <c r="F66" s="94">
        <f t="shared" si="16"/>
      </c>
      <c r="G66" s="17"/>
      <c r="H66" s="12"/>
      <c r="I66" s="13"/>
      <c r="J66" s="92">
        <f t="shared" si="18"/>
        <v>0</v>
      </c>
      <c r="K66" s="95">
        <f t="shared" si="19"/>
        <v>0</v>
      </c>
      <c r="L66" s="96">
        <f t="shared" si="17"/>
      </c>
      <c r="M66" s="97">
        <f t="shared" si="20"/>
      </c>
      <c r="N66" s="91"/>
      <c r="O66" s="91"/>
      <c r="P66" s="174"/>
      <c r="Q66" s="174"/>
      <c r="R66" s="184">
        <v>8</v>
      </c>
      <c r="S66" s="199">
        <v>0.33</v>
      </c>
      <c r="T66" s="243">
        <v>0.45</v>
      </c>
      <c r="Y66" s="238"/>
      <c r="Z66" s="238"/>
      <c r="AA66" s="238"/>
      <c r="AB66" s="238"/>
      <c r="AC66" s="136"/>
      <c r="AD66" s="136"/>
      <c r="AE66" s="136"/>
      <c r="AF66" s="136"/>
      <c r="AH66" s="128" t="s">
        <v>23</v>
      </c>
      <c r="AI66" s="129">
        <v>3</v>
      </c>
      <c r="AJ66" s="129">
        <f t="shared" si="23"/>
        <v>0.6</v>
      </c>
      <c r="AP66" s="136"/>
      <c r="AQ66" s="136"/>
      <c r="AR66" s="136"/>
    </row>
    <row r="67" spans="1:44" ht="12">
      <c r="A67" s="20">
        <v>23</v>
      </c>
      <c r="B67" s="9"/>
      <c r="C67" s="10"/>
      <c r="D67" s="92">
        <f t="shared" si="14"/>
        <v>0</v>
      </c>
      <c r="E67" s="93">
        <f t="shared" si="15"/>
        <v>0</v>
      </c>
      <c r="F67" s="94">
        <f t="shared" si="16"/>
      </c>
      <c r="G67" s="17"/>
      <c r="H67" s="12"/>
      <c r="I67" s="13"/>
      <c r="J67" s="92">
        <f t="shared" si="18"/>
        <v>0</v>
      </c>
      <c r="K67" s="95">
        <f t="shared" si="19"/>
        <v>0</v>
      </c>
      <c r="L67" s="96">
        <f t="shared" si="17"/>
      </c>
      <c r="M67" s="97">
        <f t="shared" si="20"/>
      </c>
      <c r="N67" s="91"/>
      <c r="O67" s="91"/>
      <c r="P67" s="174"/>
      <c r="Q67" s="174"/>
      <c r="R67" s="184">
        <v>8</v>
      </c>
      <c r="S67" s="199">
        <v>0.47</v>
      </c>
      <c r="T67" s="243">
        <v>0.45</v>
      </c>
      <c r="Y67" s="238"/>
      <c r="Z67" s="238"/>
      <c r="AA67" s="238"/>
      <c r="AB67" s="238"/>
      <c r="AC67" s="136"/>
      <c r="AD67" s="136"/>
      <c r="AE67" s="136"/>
      <c r="AF67" s="136"/>
      <c r="AH67" s="128" t="s">
        <v>24</v>
      </c>
      <c r="AI67" s="129">
        <v>4</v>
      </c>
      <c r="AJ67" s="129">
        <f t="shared" si="23"/>
        <v>-0.6</v>
      </c>
      <c r="AP67" s="136"/>
      <c r="AQ67" s="136"/>
      <c r="AR67" s="136"/>
    </row>
    <row r="68" spans="1:38" ht="12">
      <c r="A68" s="20">
        <v>24</v>
      </c>
      <c r="B68" s="9"/>
      <c r="C68" s="10"/>
      <c r="D68" s="92">
        <f t="shared" si="14"/>
        <v>0</v>
      </c>
      <c r="E68" s="93">
        <f t="shared" si="15"/>
        <v>0</v>
      </c>
      <c r="F68" s="94">
        <f t="shared" si="16"/>
      </c>
      <c r="G68" s="17"/>
      <c r="H68" s="12"/>
      <c r="I68" s="13"/>
      <c r="J68" s="92">
        <f t="shared" si="18"/>
        <v>0</v>
      </c>
      <c r="K68" s="95">
        <f t="shared" si="19"/>
        <v>0</v>
      </c>
      <c r="L68" s="96">
        <f t="shared" si="17"/>
      </c>
      <c r="M68" s="97">
        <f t="shared" si="20"/>
      </c>
      <c r="N68" s="91"/>
      <c r="O68" s="91"/>
      <c r="P68" s="174"/>
      <c r="Q68" s="174"/>
      <c r="R68" s="184">
        <v>10</v>
      </c>
      <c r="S68" s="199">
        <v>0.03</v>
      </c>
      <c r="T68" s="243">
        <v>0.78</v>
      </c>
      <c r="Y68" s="238"/>
      <c r="Z68" s="238"/>
      <c r="AA68" s="238"/>
      <c r="AB68" s="238"/>
      <c r="AC68" s="136"/>
      <c r="AD68" s="136"/>
      <c r="AE68" s="136"/>
      <c r="AF68" s="136"/>
      <c r="AH68" s="128" t="s">
        <v>180</v>
      </c>
      <c r="AI68" s="129">
        <v>5</v>
      </c>
      <c r="AJ68" s="155">
        <f t="shared" si="23"/>
        <v>0.1371375</v>
      </c>
      <c r="AK68" s="156"/>
      <c r="AL68" s="153"/>
    </row>
    <row r="69" spans="1:38" ht="12">
      <c r="A69" s="20">
        <v>25</v>
      </c>
      <c r="B69" s="9"/>
      <c r="C69" s="10"/>
      <c r="D69" s="92">
        <f t="shared" si="14"/>
        <v>0</v>
      </c>
      <c r="E69" s="93">
        <f t="shared" si="15"/>
        <v>0</v>
      </c>
      <c r="F69" s="94">
        <f t="shared" si="16"/>
      </c>
      <c r="G69" s="17"/>
      <c r="H69" s="12"/>
      <c r="I69" s="13"/>
      <c r="J69" s="92">
        <f t="shared" si="18"/>
        <v>0</v>
      </c>
      <c r="K69" s="95">
        <f t="shared" si="19"/>
        <v>0</v>
      </c>
      <c r="L69" s="96">
        <f t="shared" si="17"/>
      </c>
      <c r="M69" s="97">
        <f t="shared" si="20"/>
      </c>
      <c r="N69" s="91"/>
      <c r="O69" s="91"/>
      <c r="P69" s="174"/>
      <c r="Q69" s="174"/>
      <c r="R69" s="184">
        <v>10</v>
      </c>
      <c r="S69" s="199">
        <v>0.33</v>
      </c>
      <c r="T69" s="243">
        <v>0.78</v>
      </c>
      <c r="Y69" s="238"/>
      <c r="Z69" s="238"/>
      <c r="AA69" s="238"/>
      <c r="AB69" s="238"/>
      <c r="AC69" s="136"/>
      <c r="AD69" s="136"/>
      <c r="AE69" s="136"/>
      <c r="AF69" s="136"/>
      <c r="AH69" s="128" t="s">
        <v>181</v>
      </c>
      <c r="AI69" s="129">
        <v>6</v>
      </c>
      <c r="AJ69" s="149">
        <f t="shared" si="23"/>
        <v>0.6</v>
      </c>
      <c r="AL69" s="158"/>
    </row>
    <row r="70" spans="1:38" ht="12">
      <c r="A70" s="20">
        <v>26</v>
      </c>
      <c r="B70" s="9"/>
      <c r="C70" s="10"/>
      <c r="D70" s="92">
        <f t="shared" si="14"/>
        <v>0</v>
      </c>
      <c r="E70" s="93">
        <f t="shared" si="15"/>
        <v>0</v>
      </c>
      <c r="F70" s="94">
        <f t="shared" si="16"/>
      </c>
      <c r="G70" s="17"/>
      <c r="H70" s="12"/>
      <c r="I70" s="13"/>
      <c r="J70" s="92">
        <f t="shared" si="18"/>
        <v>0</v>
      </c>
      <c r="K70" s="95">
        <f t="shared" si="19"/>
        <v>0</v>
      </c>
      <c r="L70" s="96">
        <f t="shared" si="17"/>
      </c>
      <c r="M70" s="97">
        <f t="shared" si="20"/>
      </c>
      <c r="N70" s="91"/>
      <c r="O70" s="91"/>
      <c r="P70" s="174"/>
      <c r="Q70" s="174"/>
      <c r="R70" s="184">
        <v>10</v>
      </c>
      <c r="S70" s="199">
        <v>0.47</v>
      </c>
      <c r="T70" s="243">
        <v>0.78</v>
      </c>
      <c r="Y70" s="238"/>
      <c r="Z70" s="238"/>
      <c r="AA70" s="238"/>
      <c r="AB70" s="238"/>
      <c r="AC70" s="136"/>
      <c r="AD70" s="136"/>
      <c r="AE70" s="136"/>
      <c r="AF70" s="136"/>
      <c r="AH70" s="128" t="s">
        <v>182</v>
      </c>
      <c r="AI70" s="129">
        <v>7</v>
      </c>
      <c r="AJ70" s="149">
        <f t="shared" si="23"/>
        <v>0.37332289</v>
      </c>
      <c r="AL70" s="158"/>
    </row>
    <row r="71" spans="1:38" ht="12">
      <c r="A71" s="20">
        <v>27</v>
      </c>
      <c r="B71" s="9"/>
      <c r="C71" s="10"/>
      <c r="D71" s="92">
        <f t="shared" si="14"/>
        <v>0</v>
      </c>
      <c r="E71" s="93">
        <f t="shared" si="15"/>
        <v>0</v>
      </c>
      <c r="F71" s="94">
        <f t="shared" si="16"/>
      </c>
      <c r="G71" s="17"/>
      <c r="H71" s="12"/>
      <c r="I71" s="13"/>
      <c r="J71" s="92">
        <f t="shared" si="18"/>
        <v>0</v>
      </c>
      <c r="K71" s="95">
        <f t="shared" si="19"/>
        <v>0</v>
      </c>
      <c r="L71" s="96">
        <f t="shared" si="17"/>
      </c>
      <c r="M71" s="97">
        <f t="shared" si="20"/>
      </c>
      <c r="N71" s="91"/>
      <c r="O71" s="91"/>
      <c r="P71" s="174"/>
      <c r="Q71" s="174"/>
      <c r="R71" s="184">
        <v>10</v>
      </c>
      <c r="S71" s="199">
        <v>0.77</v>
      </c>
      <c r="T71" s="243">
        <v>0.78</v>
      </c>
      <c r="Y71" s="238"/>
      <c r="Z71" s="238"/>
      <c r="AA71" s="238"/>
      <c r="AB71" s="238"/>
      <c r="AC71" s="136"/>
      <c r="AD71" s="136"/>
      <c r="AE71" s="136"/>
      <c r="AF71" s="136"/>
      <c r="AH71" s="128" t="s">
        <v>183</v>
      </c>
      <c r="AI71" s="129">
        <v>8</v>
      </c>
      <c r="AJ71" s="160">
        <f t="shared" si="23"/>
        <v>-0.6</v>
      </c>
      <c r="AK71" s="161"/>
      <c r="AL71" s="162"/>
    </row>
    <row r="72" spans="1:38" ht="12">
      <c r="A72" s="20">
        <v>28</v>
      </c>
      <c r="B72" s="9"/>
      <c r="C72" s="10"/>
      <c r="D72" s="92">
        <f t="shared" si="14"/>
        <v>0</v>
      </c>
      <c r="E72" s="93">
        <f t="shared" si="15"/>
        <v>0</v>
      </c>
      <c r="F72" s="94">
        <f t="shared" si="16"/>
      </c>
      <c r="G72" s="17"/>
      <c r="H72" s="12"/>
      <c r="I72" s="13"/>
      <c r="J72" s="92">
        <f t="shared" si="18"/>
        <v>0</v>
      </c>
      <c r="K72" s="95">
        <f t="shared" si="19"/>
        <v>0</v>
      </c>
      <c r="L72" s="96">
        <f t="shared" si="17"/>
      </c>
      <c r="M72" s="97">
        <f t="shared" si="20"/>
      </c>
      <c r="N72" s="91"/>
      <c r="O72" s="91"/>
      <c r="P72" s="174"/>
      <c r="Q72" s="174"/>
      <c r="R72" s="184">
        <v>10</v>
      </c>
      <c r="S72" s="199">
        <v>0.03</v>
      </c>
      <c r="T72" s="243">
        <v>0.87</v>
      </c>
      <c r="Y72" s="238"/>
      <c r="Z72" s="238"/>
      <c r="AA72" s="238"/>
      <c r="AB72" s="238"/>
      <c r="AC72" s="136"/>
      <c r="AD72" s="136"/>
      <c r="AE72" s="136"/>
      <c r="AF72" s="136"/>
      <c r="AJ72" s="132" t="s">
        <v>184</v>
      </c>
      <c r="AK72" s="132"/>
      <c r="AL72" s="132"/>
    </row>
    <row r="73" spans="1:32" ht="12">
      <c r="A73" s="20">
        <v>29</v>
      </c>
      <c r="B73" s="9"/>
      <c r="C73" s="10"/>
      <c r="D73" s="92">
        <f t="shared" si="14"/>
        <v>0</v>
      </c>
      <c r="E73" s="93">
        <f t="shared" si="15"/>
        <v>0</v>
      </c>
      <c r="F73" s="94">
        <f t="shared" si="16"/>
      </c>
      <c r="G73" s="17"/>
      <c r="H73" s="12"/>
      <c r="I73" s="13"/>
      <c r="J73" s="92">
        <f t="shared" si="18"/>
        <v>0</v>
      </c>
      <c r="K73" s="95">
        <f t="shared" si="19"/>
        <v>0</v>
      </c>
      <c r="L73" s="96">
        <f t="shared" si="17"/>
      </c>
      <c r="M73" s="97">
        <f t="shared" si="20"/>
      </c>
      <c r="N73" s="91"/>
      <c r="O73" s="91"/>
      <c r="P73" s="174"/>
      <c r="Q73" s="174"/>
      <c r="R73" s="184">
        <v>10</v>
      </c>
      <c r="S73" s="199">
        <v>0.33</v>
      </c>
      <c r="T73" s="243">
        <v>0.87</v>
      </c>
      <c r="Y73" s="238"/>
      <c r="Z73" s="238"/>
      <c r="AA73" s="238"/>
      <c r="AB73" s="238"/>
      <c r="AC73" s="136"/>
      <c r="AD73" s="136"/>
      <c r="AE73" s="136"/>
      <c r="AF73" s="136"/>
    </row>
    <row r="74" spans="1:32" ht="12">
      <c r="A74" s="20">
        <v>30</v>
      </c>
      <c r="B74" s="9"/>
      <c r="C74" s="10"/>
      <c r="D74" s="92">
        <f t="shared" si="14"/>
        <v>0</v>
      </c>
      <c r="E74" s="93">
        <f t="shared" si="15"/>
        <v>0</v>
      </c>
      <c r="F74" s="94">
        <f t="shared" si="16"/>
      </c>
      <c r="G74" s="17"/>
      <c r="H74" s="12"/>
      <c r="I74" s="13"/>
      <c r="J74" s="92">
        <f t="shared" si="18"/>
        <v>0</v>
      </c>
      <c r="K74" s="95">
        <f t="shared" si="19"/>
        <v>0</v>
      </c>
      <c r="L74" s="96">
        <f t="shared" si="17"/>
      </c>
      <c r="M74" s="97">
        <f t="shared" si="20"/>
      </c>
      <c r="N74" s="91"/>
      <c r="O74" s="91"/>
      <c r="P74" s="174"/>
      <c r="Q74" s="174"/>
      <c r="R74" s="184">
        <v>10</v>
      </c>
      <c r="S74" s="199">
        <v>0.47</v>
      </c>
      <c r="T74" s="243">
        <v>0.87</v>
      </c>
      <c r="Y74" s="238"/>
      <c r="Z74" s="238"/>
      <c r="AA74" s="238"/>
      <c r="AB74" s="238"/>
      <c r="AC74" s="136"/>
      <c r="AD74" s="136"/>
      <c r="AE74" s="136"/>
      <c r="AF74" s="136"/>
    </row>
    <row r="75" spans="1:32" ht="12">
      <c r="A75" s="20">
        <v>31</v>
      </c>
      <c r="B75" s="9"/>
      <c r="C75" s="10"/>
      <c r="D75" s="92">
        <f t="shared" si="14"/>
        <v>0</v>
      </c>
      <c r="E75" s="93">
        <f t="shared" si="15"/>
        <v>0</v>
      </c>
      <c r="F75" s="94">
        <f t="shared" si="16"/>
      </c>
      <c r="G75" s="17"/>
      <c r="H75" s="12"/>
      <c r="I75" s="13"/>
      <c r="J75" s="92">
        <f t="shared" si="18"/>
        <v>0</v>
      </c>
      <c r="K75" s="95">
        <f t="shared" si="19"/>
        <v>0</v>
      </c>
      <c r="L75" s="96">
        <f t="shared" si="17"/>
      </c>
      <c r="M75" s="97">
        <f t="shared" si="20"/>
      </c>
      <c r="N75" s="91"/>
      <c r="O75" s="91"/>
      <c r="P75" s="174"/>
      <c r="Q75" s="174"/>
      <c r="R75" s="184">
        <v>10</v>
      </c>
      <c r="S75" s="199">
        <v>0.77</v>
      </c>
      <c r="T75" s="243">
        <v>0.87</v>
      </c>
      <c r="Y75" s="238"/>
      <c r="Z75" s="238"/>
      <c r="AA75" s="238"/>
      <c r="AB75" s="238"/>
      <c r="AC75" s="136"/>
      <c r="AD75" s="136"/>
      <c r="AE75" s="136"/>
      <c r="AF75" s="136"/>
    </row>
    <row r="76" spans="1:32" ht="12.75" thickBot="1">
      <c r="A76" s="20">
        <v>32</v>
      </c>
      <c r="B76" s="321"/>
      <c r="C76" s="322"/>
      <c r="D76" s="98">
        <f t="shared" si="14"/>
        <v>0</v>
      </c>
      <c r="E76" s="104">
        <f t="shared" si="15"/>
        <v>0</v>
      </c>
      <c r="F76" s="100">
        <f t="shared" si="16"/>
      </c>
      <c r="G76" s="18"/>
      <c r="H76" s="14"/>
      <c r="I76" s="15"/>
      <c r="J76" s="98">
        <f t="shared" si="18"/>
        <v>0</v>
      </c>
      <c r="K76" s="99">
        <f t="shared" si="19"/>
        <v>0</v>
      </c>
      <c r="L76" s="101">
        <f t="shared" si="17"/>
      </c>
      <c r="M76" s="318">
        <f t="shared" si="20"/>
      </c>
      <c r="N76" s="91"/>
      <c r="Q76" s="174"/>
      <c r="R76" s="174"/>
      <c r="Y76" s="238"/>
      <c r="Z76" s="238"/>
      <c r="AA76" s="238"/>
      <c r="AB76" s="238"/>
      <c r="AC76" s="136"/>
      <c r="AD76" s="136"/>
      <c r="AE76" s="136"/>
      <c r="AF76" s="136"/>
    </row>
    <row r="77" spans="1:32" ht="14.25" thickTop="1">
      <c r="A77" s="20"/>
      <c r="B77" s="36" t="s">
        <v>175</v>
      </c>
      <c r="C77" s="103">
        <f>X14</f>
        <v>1.2</v>
      </c>
      <c r="D77" s="21" t="s">
        <v>200</v>
      </c>
      <c r="H77" s="21"/>
      <c r="K77" s="36" t="s">
        <v>202</v>
      </c>
      <c r="L77" s="105">
        <f>SUM(AA)</f>
        <v>68.72233929727672</v>
      </c>
      <c r="M77" s="21" t="s">
        <v>201</v>
      </c>
      <c r="Q77" s="174"/>
      <c r="R77" s="174"/>
      <c r="Y77" s="238"/>
      <c r="Z77" s="238"/>
      <c r="AA77" s="238"/>
      <c r="AB77" s="238"/>
      <c r="AC77" s="136"/>
      <c r="AD77" s="136"/>
      <c r="AE77" s="136"/>
      <c r="AF77" s="136"/>
    </row>
    <row r="78" spans="6:32" ht="12">
      <c r="F78"/>
      <c r="G78"/>
      <c r="R78" s="174"/>
      <c r="T78" s="238"/>
      <c r="U78" s="238"/>
      <c r="V78" s="238"/>
      <c r="Y78" s="238"/>
      <c r="Z78" s="238"/>
      <c r="AA78" s="238"/>
      <c r="AB78" s="238"/>
      <c r="AC78" s="136"/>
      <c r="AD78" s="136"/>
      <c r="AE78" s="136"/>
      <c r="AF78" s="136"/>
    </row>
    <row r="79" spans="1:32" ht="12">
      <c r="A79" s="63" t="str">
        <f>IF($AV$61="PT","Équation de la fibre neutre","")</f>
        <v>Équation de la fibre neutre</v>
      </c>
      <c r="B79" s="21"/>
      <c r="C79" s="21"/>
      <c r="F79" s="308"/>
      <c r="G79" s="309"/>
      <c r="H79" s="69"/>
      <c r="R79" s="174"/>
      <c r="T79" s="238"/>
      <c r="U79" s="238"/>
      <c r="V79" s="238"/>
      <c r="Y79" s="238"/>
      <c r="Z79" s="238"/>
      <c r="AA79" s="238"/>
      <c r="AB79" s="238"/>
      <c r="AC79" s="136"/>
      <c r="AD79" s="136"/>
      <c r="AE79" s="136"/>
      <c r="AF79" s="136"/>
    </row>
    <row r="80" spans="1:58" ht="12">
      <c r="A80" s="23" t="str">
        <f>IF($AV$61="PT","(dans l'ancien repère)","")</f>
        <v>(dans l'ancien repère)</v>
      </c>
      <c r="B80" s="21"/>
      <c r="C80" s="69"/>
      <c r="E80" s="21" t="str">
        <f>uvw0(U$324,V$324,U$325,V$325,1)</f>
        <v>-5,08076.x  -1 .y + 4,43713 = 0</v>
      </c>
      <c r="F80" s="308"/>
      <c r="G80" s="310"/>
      <c r="H80" s="69"/>
      <c r="K80" s="36" t="str">
        <f>IF(AV61="PT","hauteur totale","")</f>
        <v>hauteur totale</v>
      </c>
      <c r="L80" s="126">
        <f>S337-S335</f>
        <v>1.2</v>
      </c>
      <c r="M80" s="21" t="s">
        <v>187</v>
      </c>
      <c r="V80" s="238"/>
      <c r="W80" s="238"/>
      <c r="X80" s="238"/>
      <c r="Z80" s="122"/>
      <c r="AA80" s="238"/>
      <c r="AB80" s="238"/>
      <c r="AC80" s="238"/>
      <c r="AD80" s="238"/>
      <c r="AE80" s="136"/>
      <c r="AF80" s="136"/>
      <c r="AG80" s="136"/>
      <c r="AH80" s="136"/>
      <c r="BE80" s="129"/>
      <c r="BF80" s="129"/>
    </row>
    <row r="81" spans="5:58" ht="12">
      <c r="E81" s="25" t="str">
        <f>uvw0(U$324,V$324,U$325,V$325,2)</f>
        <v>y = -5,08076.x 4,43713</v>
      </c>
      <c r="F81" s="61"/>
      <c r="G81" s="25"/>
      <c r="H81" s="69"/>
      <c r="J81" s="20"/>
      <c r="K81" s="36" t="str">
        <f>IF(AV61="PT","hauteur utile","")</f>
        <v>hauteur utile</v>
      </c>
      <c r="L81" s="126">
        <f>IF(AV61="PT",S337-MIN(I45:I76),"")</f>
        <v>1.0999999999999999</v>
      </c>
      <c r="M81" s="21" t="s">
        <v>187</v>
      </c>
      <c r="P81" s="210"/>
      <c r="U81" s="311"/>
      <c r="V81" s="238"/>
      <c r="W81" s="238"/>
      <c r="X81" s="238"/>
      <c r="Z81" s="122"/>
      <c r="AA81" s="122"/>
      <c r="AC81" s="210"/>
      <c r="AD81" s="210"/>
      <c r="BE81" s="129"/>
      <c r="BF81" s="129"/>
    </row>
    <row r="82" spans="5:58" ht="12">
      <c r="E82" s="36" t="s">
        <v>269</v>
      </c>
      <c r="F82" s="315">
        <f>ATAN(U87)*180/PI()</f>
        <v>-78.86531475266129</v>
      </c>
      <c r="G82" s="316" t="s">
        <v>206</v>
      </c>
      <c r="H82" s="313"/>
      <c r="I82" s="313"/>
      <c r="J82" s="312"/>
      <c r="K82" s="312"/>
      <c r="L82" s="312"/>
      <c r="M82" s="312"/>
      <c r="N82" s="312"/>
      <c r="O82"/>
      <c r="U82" s="311"/>
      <c r="Z82" s="122"/>
      <c r="AA82" s="122"/>
      <c r="AC82" s="210"/>
      <c r="AD82" s="210"/>
      <c r="BE82" s="129"/>
      <c r="BF82" s="129"/>
    </row>
    <row r="83" spans="6:58" ht="12">
      <c r="F83" s="312"/>
      <c r="G83" s="314"/>
      <c r="H83" s="314"/>
      <c r="I83" s="314"/>
      <c r="J83" s="312"/>
      <c r="K83" s="312"/>
      <c r="L83" s="313"/>
      <c r="M83" s="312"/>
      <c r="N83" s="312"/>
      <c r="O83"/>
      <c r="U83" s="311"/>
      <c r="Z83" s="122"/>
      <c r="AA83" s="122"/>
      <c r="AC83" s="210"/>
      <c r="AD83" s="210"/>
      <c r="BE83" s="129"/>
      <c r="BF83" s="129"/>
    </row>
    <row r="84" spans="2:58" ht="12">
      <c r="B84" s="78" t="s">
        <v>267</v>
      </c>
      <c r="C84" s="21"/>
      <c r="D84" s="36"/>
      <c r="E84" s="126"/>
      <c r="F84" s="312"/>
      <c r="G84" s="314"/>
      <c r="H84" s="314"/>
      <c r="I84" s="314"/>
      <c r="J84" s="312"/>
      <c r="K84" s="312"/>
      <c r="L84" s="312"/>
      <c r="M84" s="312"/>
      <c r="N84" s="312"/>
      <c r="O84"/>
      <c r="P84" s="210"/>
      <c r="Z84" s="122"/>
      <c r="AA84" s="122"/>
      <c r="AC84" s="210"/>
      <c r="AD84" s="210"/>
      <c r="BE84" s="129"/>
      <c r="BF84" s="129"/>
    </row>
    <row r="85" spans="2:58" ht="12">
      <c r="B85" s="21"/>
      <c r="C85" s="21"/>
      <c r="O85"/>
      <c r="P85" s="210"/>
      <c r="U85" s="311"/>
      <c r="Z85" s="122"/>
      <c r="AA85" s="122"/>
      <c r="AC85" s="122"/>
      <c r="AD85" s="122"/>
      <c r="BE85" s="129"/>
      <c r="BF85" s="129"/>
    </row>
    <row r="86" spans="2:58" ht="12">
      <c r="B86" s="21"/>
      <c r="C86" s="21"/>
      <c r="H86" s="21"/>
      <c r="P86" s="210"/>
      <c r="U86" s="317" t="s">
        <v>270</v>
      </c>
      <c r="Z86" s="122"/>
      <c r="AA86" s="122"/>
      <c r="AC86" s="122"/>
      <c r="AD86" s="122"/>
      <c r="BE86" s="129"/>
      <c r="BF86" s="129"/>
    </row>
    <row r="87" spans="2:58" ht="12">
      <c r="B87" s="21"/>
      <c r="C87" s="21"/>
      <c r="H87" s="21"/>
      <c r="P87" s="210"/>
      <c r="U87" s="311">
        <f>uvw0(U$324,V$324,U$325,V$325,3)</f>
        <v>-5.08076</v>
      </c>
      <c r="Z87" s="122"/>
      <c r="AA87" s="122"/>
      <c r="AB87" s="210"/>
      <c r="AC87" s="122"/>
      <c r="AD87" s="122"/>
      <c r="BE87" s="129"/>
      <c r="BF87" s="129"/>
    </row>
    <row r="88" spans="2:58" ht="12">
      <c r="B88" s="21"/>
      <c r="C88" s="21"/>
      <c r="H88" s="21"/>
      <c r="P88" s="210"/>
      <c r="T88" s="210"/>
      <c r="U88" s="210"/>
      <c r="Z88" s="244" t="s">
        <v>25</v>
      </c>
      <c r="AA88" s="212"/>
      <c r="AB88" s="244" t="s">
        <v>26</v>
      </c>
      <c r="AC88" s="212"/>
      <c r="AD88" s="122"/>
      <c r="BE88" s="129"/>
      <c r="BF88" s="129"/>
    </row>
    <row r="89" spans="2:58" ht="12">
      <c r="B89" s="21"/>
      <c r="C89" s="21"/>
      <c r="H89" s="21"/>
      <c r="P89" s="210"/>
      <c r="U89" s="210" t="s">
        <v>185</v>
      </c>
      <c r="Z89" s="235" t="s">
        <v>185</v>
      </c>
      <c r="AA89" s="245" t="s">
        <v>29</v>
      </c>
      <c r="AC89" s="122"/>
      <c r="AD89" s="122"/>
      <c r="BE89" s="129"/>
      <c r="BF89" s="129"/>
    </row>
    <row r="90" spans="2:58" ht="12">
      <c r="B90" s="21"/>
      <c r="C90" s="21"/>
      <c r="H90" s="21"/>
      <c r="P90" s="210"/>
      <c r="U90" s="119" t="s">
        <v>36</v>
      </c>
      <c r="Z90" s="210" t="s">
        <v>37</v>
      </c>
      <c r="AA90" s="237">
        <f>phi*PI()/180</f>
        <v>0</v>
      </c>
      <c r="AC90" s="122"/>
      <c r="AD90" s="122"/>
      <c r="BE90" s="129"/>
      <c r="BF90" s="129"/>
    </row>
    <row r="91" spans="2:58" ht="12">
      <c r="B91" s="21"/>
      <c r="C91" s="21"/>
      <c r="H91" s="21"/>
      <c r="P91" s="210"/>
      <c r="U91" s="235"/>
      <c r="V91" s="297" t="s">
        <v>266</v>
      </c>
      <c r="W91" s="307" t="s">
        <v>249</v>
      </c>
      <c r="X91" s="210"/>
      <c r="Z91" s="122"/>
      <c r="AA91" s="236" t="s">
        <v>186</v>
      </c>
      <c r="AB91" s="235" t="s">
        <v>185</v>
      </c>
      <c r="AC91" s="236" t="s">
        <v>186</v>
      </c>
      <c r="AD91" s="122"/>
      <c r="BE91" s="129"/>
      <c r="BF91" s="129"/>
    </row>
    <row r="92" spans="2:58" ht="12">
      <c r="B92" s="21"/>
      <c r="C92" s="21"/>
      <c r="H92" s="21"/>
      <c r="P92" s="210"/>
      <c r="U92" s="225">
        <f aca="true" t="shared" si="24" ref="U92:U123">IF(A45&gt;Nb,B$45,B45)</f>
        <v>0</v>
      </c>
      <c r="V92" s="210">
        <f aca="true" t="shared" si="25" ref="V92:V123">IF(A45&gt;Nb,C$45,C45)</f>
        <v>0</v>
      </c>
      <c r="W92" s="229"/>
      <c r="X92" s="210"/>
      <c r="Y92" s="210"/>
      <c r="Z92" s="225">
        <f>IF(U92="","",(U92-xg)*COS(phir)+(V92-yg)*SIN(phir))</f>
        <v>-0.5</v>
      </c>
      <c r="AA92" s="229">
        <f>IF(V92="","",-(U92-xg)*SIN(phir)+(V92-yg)*COS(phir))</f>
        <v>-0.6</v>
      </c>
      <c r="AB92" s="118">
        <f aca="true" t="shared" si="26" ref="AB92:AB123">IF(H45="","",(H45-xg)*COS(phir)+(I45-yg)*SIN(phir))</f>
        <v>-0.4</v>
      </c>
      <c r="AC92" s="120">
        <f aca="true" t="shared" si="27" ref="AC92:AC123">IF(I45="","",-(H45-xg)*SIN(phir)+(I45-yg)*COS(phir))</f>
        <v>-0.5</v>
      </c>
      <c r="AD92" s="122"/>
      <c r="BE92" s="129"/>
      <c r="BF92" s="129"/>
    </row>
    <row r="93" spans="2:58" ht="12">
      <c r="B93" s="21"/>
      <c r="C93" s="21"/>
      <c r="H93" s="21"/>
      <c r="P93" s="210"/>
      <c r="U93" s="225">
        <f t="shared" si="24"/>
        <v>0</v>
      </c>
      <c r="V93" s="210">
        <f t="shared" si="25"/>
        <v>1.2</v>
      </c>
      <c r="W93" s="229"/>
      <c r="X93" s="210"/>
      <c r="Y93" s="210"/>
      <c r="Z93" s="225">
        <f aca="true" t="shared" si="28" ref="Z93:Z123">IF(U93="","",(U93-xg)*COS(phir)+(V93-yg)*SIN(phir))</f>
        <v>-0.5</v>
      </c>
      <c r="AA93" s="229">
        <f aca="true" t="shared" si="29" ref="AA93:AA123">IF(V93="","",-(U93-xg)*SIN(phir)+(V93-yg)*COS(phir))</f>
        <v>0.6</v>
      </c>
      <c r="AB93" s="118">
        <f t="shared" si="26"/>
        <v>-0.14</v>
      </c>
      <c r="AC93" s="120">
        <f t="shared" si="27"/>
        <v>-0.5</v>
      </c>
      <c r="AD93" s="122"/>
      <c r="BE93" s="129"/>
      <c r="BF93" s="129"/>
    </row>
    <row r="94" spans="2:58" ht="12">
      <c r="B94" s="21"/>
      <c r="C94" s="21"/>
      <c r="H94" s="21"/>
      <c r="P94" s="210"/>
      <c r="U94" s="225">
        <f t="shared" si="24"/>
        <v>1</v>
      </c>
      <c r="V94" s="210">
        <f t="shared" si="25"/>
        <v>1.2</v>
      </c>
      <c r="W94" s="229"/>
      <c r="X94" s="210"/>
      <c r="Y94" s="210"/>
      <c r="Z94" s="225">
        <f t="shared" si="28"/>
        <v>0.5</v>
      </c>
      <c r="AA94" s="229">
        <f t="shared" si="29"/>
        <v>0.6</v>
      </c>
      <c r="AB94" s="118">
        <f t="shared" si="26"/>
        <v>0.14</v>
      </c>
      <c r="AC94" s="120">
        <f t="shared" si="27"/>
        <v>-0.5</v>
      </c>
      <c r="AD94" s="122"/>
      <c r="BE94" s="129"/>
      <c r="BF94" s="129"/>
    </row>
    <row r="95" spans="2:58" ht="12">
      <c r="B95" s="21"/>
      <c r="C95" s="21"/>
      <c r="H95" s="21"/>
      <c r="P95" s="210"/>
      <c r="U95" s="225">
        <f t="shared" si="24"/>
        <v>1</v>
      </c>
      <c r="V95" s="210">
        <f t="shared" si="25"/>
        <v>0</v>
      </c>
      <c r="W95" s="229"/>
      <c r="X95" s="210"/>
      <c r="Y95" s="210"/>
      <c r="Z95" s="225">
        <f t="shared" si="28"/>
        <v>0.5</v>
      </c>
      <c r="AA95" s="229">
        <f t="shared" si="29"/>
        <v>-0.6</v>
      </c>
      <c r="AB95" s="118">
        <f t="shared" si="26"/>
        <v>0.4</v>
      </c>
      <c r="AC95" s="120">
        <f t="shared" si="27"/>
        <v>-0.5</v>
      </c>
      <c r="AD95" s="122"/>
      <c r="BE95" s="129"/>
      <c r="BF95" s="129"/>
    </row>
    <row r="96" spans="2:58" ht="12">
      <c r="B96" s="21"/>
      <c r="C96" s="21"/>
      <c r="H96" s="21"/>
      <c r="P96" s="299"/>
      <c r="U96" s="225">
        <f t="shared" si="24"/>
        <v>0</v>
      </c>
      <c r="V96" s="210">
        <f t="shared" si="25"/>
        <v>0</v>
      </c>
      <c r="W96" s="229"/>
      <c r="X96" s="210"/>
      <c r="Y96" s="210"/>
      <c r="Z96" s="225">
        <f t="shared" si="28"/>
        <v>-0.5</v>
      </c>
      <c r="AA96" s="229">
        <f t="shared" si="29"/>
        <v>-0.6</v>
      </c>
      <c r="AB96" s="118">
        <f t="shared" si="26"/>
        <v>-0.4</v>
      </c>
      <c r="AC96" s="120">
        <f t="shared" si="27"/>
        <v>0.5000000000000001</v>
      </c>
      <c r="AD96" s="122"/>
      <c r="BE96" s="129"/>
      <c r="BF96" s="129"/>
    </row>
    <row r="97" spans="2:58" ht="12">
      <c r="B97" s="21"/>
      <c r="C97" s="21"/>
      <c r="H97" s="21"/>
      <c r="P97" s="299"/>
      <c r="U97" s="225">
        <f t="shared" si="24"/>
        <v>0</v>
      </c>
      <c r="V97" s="210">
        <f t="shared" si="25"/>
        <v>0</v>
      </c>
      <c r="W97" s="229"/>
      <c r="X97" s="210"/>
      <c r="Y97" s="210"/>
      <c r="Z97" s="225">
        <f t="shared" si="28"/>
        <v>-0.5</v>
      </c>
      <c r="AA97" s="229">
        <f t="shared" si="29"/>
        <v>-0.6</v>
      </c>
      <c r="AB97" s="118">
        <f t="shared" si="26"/>
        <v>-0.14</v>
      </c>
      <c r="AC97" s="120">
        <f t="shared" si="27"/>
        <v>0.5000000000000001</v>
      </c>
      <c r="AD97" s="122"/>
      <c r="BE97" s="129"/>
      <c r="BF97" s="129"/>
    </row>
    <row r="98" spans="2:58" ht="12">
      <c r="B98" s="21"/>
      <c r="C98" s="21"/>
      <c r="H98" s="21"/>
      <c r="P98" s="21"/>
      <c r="U98" s="225">
        <f t="shared" si="24"/>
        <v>0</v>
      </c>
      <c r="V98" s="210">
        <f t="shared" si="25"/>
        <v>0</v>
      </c>
      <c r="W98" s="229"/>
      <c r="X98" s="210"/>
      <c r="Y98" s="210"/>
      <c r="Z98" s="225">
        <f t="shared" si="28"/>
        <v>-0.5</v>
      </c>
      <c r="AA98" s="229">
        <f t="shared" si="29"/>
        <v>-0.6</v>
      </c>
      <c r="AB98" s="118">
        <f t="shared" si="26"/>
        <v>0.14</v>
      </c>
      <c r="AC98" s="120">
        <f t="shared" si="27"/>
        <v>0.5000000000000001</v>
      </c>
      <c r="AD98" s="122"/>
      <c r="BE98" s="129"/>
      <c r="BF98" s="129"/>
    </row>
    <row r="99" spans="2:58" ht="12">
      <c r="B99" s="21"/>
      <c r="C99" s="21"/>
      <c r="H99" s="21"/>
      <c r="P99" s="21"/>
      <c r="U99" s="225">
        <f t="shared" si="24"/>
        <v>0</v>
      </c>
      <c r="V99" s="210">
        <f t="shared" si="25"/>
        <v>0</v>
      </c>
      <c r="W99" s="229"/>
      <c r="X99" s="210"/>
      <c r="Y99" s="210"/>
      <c r="Z99" s="225">
        <f t="shared" si="28"/>
        <v>-0.5</v>
      </c>
      <c r="AA99" s="229">
        <f t="shared" si="29"/>
        <v>-0.6</v>
      </c>
      <c r="AB99" s="118">
        <f t="shared" si="26"/>
        <v>0.4</v>
      </c>
      <c r="AC99" s="120">
        <f t="shared" si="27"/>
        <v>0.5000000000000001</v>
      </c>
      <c r="AD99" s="122"/>
      <c r="BE99" s="129"/>
      <c r="BF99" s="129"/>
    </row>
    <row r="100" spans="2:58" ht="12">
      <c r="B100" s="21"/>
      <c r="C100" s="21"/>
      <c r="H100" s="21"/>
      <c r="P100" s="21"/>
      <c r="U100" s="225">
        <f t="shared" si="24"/>
        <v>0</v>
      </c>
      <c r="V100" s="210">
        <f t="shared" si="25"/>
        <v>0</v>
      </c>
      <c r="W100" s="229"/>
      <c r="X100" s="210"/>
      <c r="Y100" s="210"/>
      <c r="Z100" s="225">
        <f t="shared" si="28"/>
        <v>-0.5</v>
      </c>
      <c r="AA100" s="229">
        <f t="shared" si="29"/>
        <v>-0.6</v>
      </c>
      <c r="AB100" s="118">
        <f t="shared" si="26"/>
        <v>-0.4</v>
      </c>
      <c r="AC100" s="120">
        <f t="shared" si="27"/>
        <v>-0.25</v>
      </c>
      <c r="AD100" s="122"/>
      <c r="BE100" s="129"/>
      <c r="BF100" s="129"/>
    </row>
    <row r="101" spans="2:58" ht="12">
      <c r="B101" s="21"/>
      <c r="C101" s="21"/>
      <c r="H101" s="21"/>
      <c r="U101" s="225">
        <f t="shared" si="24"/>
        <v>0</v>
      </c>
      <c r="V101" s="210">
        <f t="shared" si="25"/>
        <v>0</v>
      </c>
      <c r="W101" s="229"/>
      <c r="X101" s="210"/>
      <c r="Y101" s="210"/>
      <c r="Z101" s="225">
        <f t="shared" si="28"/>
        <v>-0.5</v>
      </c>
      <c r="AA101" s="229">
        <f t="shared" si="29"/>
        <v>-0.6</v>
      </c>
      <c r="AB101" s="118">
        <f t="shared" si="26"/>
        <v>0.4</v>
      </c>
      <c r="AC101" s="120">
        <f t="shared" si="27"/>
        <v>-0.24</v>
      </c>
      <c r="AD101" s="122"/>
      <c r="BE101" s="129"/>
      <c r="BF101" s="129"/>
    </row>
    <row r="102" spans="2:58" ht="12">
      <c r="B102" s="21"/>
      <c r="C102" s="21"/>
      <c r="H102" s="21"/>
      <c r="U102" s="225">
        <f t="shared" si="24"/>
        <v>0</v>
      </c>
      <c r="V102" s="210">
        <f t="shared" si="25"/>
        <v>0</v>
      </c>
      <c r="W102" s="229"/>
      <c r="X102" s="210"/>
      <c r="Y102" s="210"/>
      <c r="Z102" s="225">
        <f t="shared" si="28"/>
        <v>-0.5</v>
      </c>
      <c r="AA102" s="229">
        <f t="shared" si="29"/>
        <v>-0.6</v>
      </c>
      <c r="AB102" s="118">
        <f t="shared" si="26"/>
        <v>-0.4</v>
      </c>
      <c r="AC102" s="120">
        <f t="shared" si="27"/>
        <v>0</v>
      </c>
      <c r="AD102" s="122"/>
      <c r="BE102" s="129"/>
      <c r="BF102" s="129"/>
    </row>
    <row r="103" spans="2:58" ht="12">
      <c r="B103" s="21"/>
      <c r="C103" s="21"/>
      <c r="H103" s="21"/>
      <c r="U103" s="225">
        <f t="shared" si="24"/>
        <v>0</v>
      </c>
      <c r="V103" s="210">
        <f t="shared" si="25"/>
        <v>0</v>
      </c>
      <c r="W103" s="229"/>
      <c r="X103" s="210"/>
      <c r="Y103" s="210"/>
      <c r="Z103" s="225">
        <f t="shared" si="28"/>
        <v>-0.5</v>
      </c>
      <c r="AA103" s="229">
        <f t="shared" si="29"/>
        <v>-0.6</v>
      </c>
      <c r="AB103" s="118">
        <f t="shared" si="26"/>
        <v>0.4</v>
      </c>
      <c r="AC103" s="120">
        <f t="shared" si="27"/>
        <v>0</v>
      </c>
      <c r="AD103" s="122"/>
      <c r="BE103" s="129"/>
      <c r="BF103" s="129"/>
    </row>
    <row r="104" spans="2:58" ht="12">
      <c r="B104" s="21"/>
      <c r="C104" s="21"/>
      <c r="H104" s="21"/>
      <c r="U104" s="225">
        <f t="shared" si="24"/>
        <v>0</v>
      </c>
      <c r="V104" s="210">
        <f t="shared" si="25"/>
        <v>0</v>
      </c>
      <c r="W104" s="229"/>
      <c r="X104" s="210"/>
      <c r="Y104" s="210"/>
      <c r="Z104" s="225">
        <f t="shared" si="28"/>
        <v>-0.5</v>
      </c>
      <c r="AA104" s="229">
        <f t="shared" si="29"/>
        <v>-0.6</v>
      </c>
      <c r="AB104" s="118">
        <f t="shared" si="26"/>
        <v>-0.4</v>
      </c>
      <c r="AC104" s="120">
        <f t="shared" si="27"/>
        <v>0.25</v>
      </c>
      <c r="AD104" s="122"/>
      <c r="BE104" s="129"/>
      <c r="BF104" s="129"/>
    </row>
    <row r="105" spans="2:58" ht="12">
      <c r="B105" s="21"/>
      <c r="C105" s="21"/>
      <c r="H105" s="21"/>
      <c r="U105" s="225">
        <f t="shared" si="24"/>
        <v>0</v>
      </c>
      <c r="V105" s="210">
        <f t="shared" si="25"/>
        <v>0</v>
      </c>
      <c r="W105" s="229"/>
      <c r="X105" s="210"/>
      <c r="Y105" s="210"/>
      <c r="Z105" s="225">
        <f t="shared" si="28"/>
        <v>-0.5</v>
      </c>
      <c r="AA105" s="229">
        <f t="shared" si="29"/>
        <v>-0.6</v>
      </c>
      <c r="AB105" s="118">
        <f t="shared" si="26"/>
        <v>0.4</v>
      </c>
      <c r="AC105" s="120">
        <f t="shared" si="27"/>
        <v>0.25</v>
      </c>
      <c r="AD105" s="122"/>
      <c r="BE105" s="129"/>
      <c r="BF105" s="129"/>
    </row>
    <row r="106" spans="2:58" ht="12">
      <c r="B106" s="21"/>
      <c r="C106" s="21"/>
      <c r="H106" s="21"/>
      <c r="U106" s="225">
        <f t="shared" si="24"/>
        <v>0</v>
      </c>
      <c r="V106" s="210">
        <f t="shared" si="25"/>
        <v>0</v>
      </c>
      <c r="W106" s="229"/>
      <c r="X106" s="210"/>
      <c r="Y106" s="210"/>
      <c r="Z106" s="225">
        <f t="shared" si="28"/>
        <v>-0.5</v>
      </c>
      <c r="AA106" s="229">
        <f t="shared" si="29"/>
        <v>-0.6</v>
      </c>
      <c r="AB106" s="118">
        <f t="shared" si="26"/>
      </c>
      <c r="AC106" s="120">
        <f t="shared" si="27"/>
      </c>
      <c r="AD106" s="122"/>
      <c r="BE106" s="129"/>
      <c r="BF106" s="129"/>
    </row>
    <row r="107" spans="2:58" ht="12">
      <c r="B107" s="21"/>
      <c r="C107" s="21"/>
      <c r="H107" s="21"/>
      <c r="U107" s="225">
        <f t="shared" si="24"/>
        <v>0</v>
      </c>
      <c r="V107" s="210">
        <f t="shared" si="25"/>
        <v>0</v>
      </c>
      <c r="W107" s="229"/>
      <c r="X107" s="210"/>
      <c r="Y107" s="210"/>
      <c r="Z107" s="225">
        <f t="shared" si="28"/>
        <v>-0.5</v>
      </c>
      <c r="AA107" s="229">
        <f t="shared" si="29"/>
        <v>-0.6</v>
      </c>
      <c r="AB107" s="118">
        <f t="shared" si="26"/>
      </c>
      <c r="AC107" s="120">
        <f t="shared" si="27"/>
      </c>
      <c r="AD107" s="122"/>
      <c r="BE107" s="129"/>
      <c r="BF107" s="129"/>
    </row>
    <row r="108" spans="2:58" ht="12">
      <c r="B108" s="21"/>
      <c r="C108" s="21"/>
      <c r="H108" s="21"/>
      <c r="U108" s="225">
        <f t="shared" si="24"/>
        <v>0</v>
      </c>
      <c r="V108" s="210">
        <f t="shared" si="25"/>
        <v>0</v>
      </c>
      <c r="W108" s="229"/>
      <c r="X108" s="210"/>
      <c r="Y108" s="210"/>
      <c r="Z108" s="225">
        <f t="shared" si="28"/>
        <v>-0.5</v>
      </c>
      <c r="AA108" s="229">
        <f t="shared" si="29"/>
        <v>-0.6</v>
      </c>
      <c r="AB108" s="118">
        <f t="shared" si="26"/>
      </c>
      <c r="AC108" s="120">
        <f t="shared" si="27"/>
      </c>
      <c r="AD108" s="122"/>
      <c r="BE108" s="129"/>
      <c r="BF108" s="129"/>
    </row>
    <row r="109" spans="2:58" ht="12">
      <c r="B109" s="21"/>
      <c r="C109" s="21"/>
      <c r="H109" s="21"/>
      <c r="U109" s="225">
        <f t="shared" si="24"/>
        <v>0</v>
      </c>
      <c r="V109" s="210">
        <f t="shared" si="25"/>
        <v>0</v>
      </c>
      <c r="W109" s="229"/>
      <c r="X109" s="210"/>
      <c r="Y109" s="210"/>
      <c r="Z109" s="225">
        <f t="shared" si="28"/>
        <v>-0.5</v>
      </c>
      <c r="AA109" s="229">
        <f t="shared" si="29"/>
        <v>-0.6</v>
      </c>
      <c r="AB109" s="118">
        <f t="shared" si="26"/>
      </c>
      <c r="AC109" s="120">
        <f t="shared" si="27"/>
      </c>
      <c r="AD109" s="122"/>
      <c r="BE109" s="129"/>
      <c r="BF109" s="129"/>
    </row>
    <row r="110" spans="2:58" ht="12">
      <c r="B110" s="21"/>
      <c r="C110" s="21"/>
      <c r="H110" s="21"/>
      <c r="U110" s="225">
        <f t="shared" si="24"/>
        <v>0</v>
      </c>
      <c r="V110" s="210">
        <f t="shared" si="25"/>
        <v>0</v>
      </c>
      <c r="W110" s="229"/>
      <c r="X110" s="210"/>
      <c r="Y110" s="210"/>
      <c r="Z110" s="225">
        <f t="shared" si="28"/>
        <v>-0.5</v>
      </c>
      <c r="AA110" s="229">
        <f t="shared" si="29"/>
        <v>-0.6</v>
      </c>
      <c r="AB110" s="118">
        <f t="shared" si="26"/>
      </c>
      <c r="AC110" s="120">
        <f t="shared" si="27"/>
      </c>
      <c r="AD110" s="122"/>
      <c r="BE110" s="129"/>
      <c r="BF110" s="129"/>
    </row>
    <row r="111" spans="2:58" ht="12">
      <c r="B111" s="21"/>
      <c r="C111" s="21"/>
      <c r="H111" s="21"/>
      <c r="U111" s="225">
        <f t="shared" si="24"/>
        <v>0</v>
      </c>
      <c r="V111" s="210">
        <f t="shared" si="25"/>
        <v>0</v>
      </c>
      <c r="W111" s="229"/>
      <c r="X111" s="210"/>
      <c r="Y111" s="210"/>
      <c r="Z111" s="225">
        <f t="shared" si="28"/>
        <v>-0.5</v>
      </c>
      <c r="AA111" s="229">
        <f t="shared" si="29"/>
        <v>-0.6</v>
      </c>
      <c r="AB111" s="118">
        <f t="shared" si="26"/>
      </c>
      <c r="AC111" s="120">
        <f t="shared" si="27"/>
      </c>
      <c r="AD111" s="122"/>
      <c r="BE111" s="129"/>
      <c r="BF111" s="129"/>
    </row>
    <row r="112" spans="2:58" ht="12">
      <c r="B112" s="21"/>
      <c r="C112" s="21"/>
      <c r="H112" s="21"/>
      <c r="U112" s="225">
        <f t="shared" si="24"/>
        <v>0</v>
      </c>
      <c r="V112" s="210">
        <f t="shared" si="25"/>
        <v>0</v>
      </c>
      <c r="W112" s="229"/>
      <c r="X112" s="210"/>
      <c r="Y112" s="210"/>
      <c r="Z112" s="225">
        <f t="shared" si="28"/>
        <v>-0.5</v>
      </c>
      <c r="AA112" s="229">
        <f t="shared" si="29"/>
        <v>-0.6</v>
      </c>
      <c r="AB112" s="118">
        <f t="shared" si="26"/>
      </c>
      <c r="AC112" s="120">
        <f t="shared" si="27"/>
      </c>
      <c r="AD112" s="122"/>
      <c r="BE112" s="129"/>
      <c r="BF112" s="129"/>
    </row>
    <row r="113" spans="2:58" ht="12">
      <c r="B113" s="21"/>
      <c r="C113" s="21"/>
      <c r="H113" s="21"/>
      <c r="U113" s="225">
        <f t="shared" si="24"/>
        <v>0</v>
      </c>
      <c r="V113" s="210">
        <f t="shared" si="25"/>
        <v>0</v>
      </c>
      <c r="W113" s="229"/>
      <c r="X113" s="210"/>
      <c r="Y113" s="210"/>
      <c r="Z113" s="225">
        <f t="shared" si="28"/>
        <v>-0.5</v>
      </c>
      <c r="AA113" s="229">
        <f t="shared" si="29"/>
        <v>-0.6</v>
      </c>
      <c r="AB113" s="118">
        <f t="shared" si="26"/>
      </c>
      <c r="AC113" s="120">
        <f t="shared" si="27"/>
      </c>
      <c r="AD113" s="122"/>
      <c r="BE113" s="129"/>
      <c r="BF113" s="129"/>
    </row>
    <row r="114" spans="2:58" ht="12">
      <c r="B114" s="21"/>
      <c r="C114" s="21"/>
      <c r="H114" s="21"/>
      <c r="U114" s="225">
        <f t="shared" si="24"/>
        <v>0</v>
      </c>
      <c r="V114" s="210">
        <f t="shared" si="25"/>
        <v>0</v>
      </c>
      <c r="W114" s="229"/>
      <c r="X114" s="210"/>
      <c r="Y114" s="210"/>
      <c r="Z114" s="225">
        <f t="shared" si="28"/>
        <v>-0.5</v>
      </c>
      <c r="AA114" s="229">
        <f t="shared" si="29"/>
        <v>-0.6</v>
      </c>
      <c r="AB114" s="118">
        <f t="shared" si="26"/>
      </c>
      <c r="AC114" s="120">
        <f t="shared" si="27"/>
      </c>
      <c r="AD114" s="122"/>
      <c r="BE114" s="129"/>
      <c r="BF114" s="129"/>
    </row>
    <row r="115" spans="2:58" ht="12">
      <c r="B115" s="21"/>
      <c r="C115" s="21"/>
      <c r="H115" s="21"/>
      <c r="U115" s="225">
        <f t="shared" si="24"/>
        <v>0</v>
      </c>
      <c r="V115" s="210">
        <f t="shared" si="25"/>
        <v>0</v>
      </c>
      <c r="W115" s="229"/>
      <c r="X115" s="210"/>
      <c r="Y115" s="210"/>
      <c r="Z115" s="225">
        <f t="shared" si="28"/>
        <v>-0.5</v>
      </c>
      <c r="AA115" s="229">
        <f t="shared" si="29"/>
        <v>-0.6</v>
      </c>
      <c r="AB115" s="118">
        <f t="shared" si="26"/>
      </c>
      <c r="AC115" s="120">
        <f t="shared" si="27"/>
      </c>
      <c r="AD115" s="122"/>
      <c r="BE115" s="129"/>
      <c r="BF115" s="129"/>
    </row>
    <row r="116" spans="2:58" ht="12">
      <c r="B116" s="21"/>
      <c r="C116" s="21"/>
      <c r="H116" s="21"/>
      <c r="U116" s="225">
        <f t="shared" si="24"/>
        <v>0</v>
      </c>
      <c r="V116" s="210">
        <f t="shared" si="25"/>
        <v>0</v>
      </c>
      <c r="W116" s="229"/>
      <c r="X116" s="210"/>
      <c r="Y116" s="210"/>
      <c r="Z116" s="225">
        <f t="shared" si="28"/>
        <v>-0.5</v>
      </c>
      <c r="AA116" s="229">
        <f t="shared" si="29"/>
        <v>-0.6</v>
      </c>
      <c r="AB116" s="118">
        <f t="shared" si="26"/>
      </c>
      <c r="AC116" s="120">
        <f t="shared" si="27"/>
      </c>
      <c r="AD116" s="122"/>
      <c r="BE116" s="129"/>
      <c r="BF116" s="129"/>
    </row>
    <row r="117" spans="2:58" ht="12">
      <c r="B117" s="21"/>
      <c r="C117" s="21"/>
      <c r="H117" s="21"/>
      <c r="U117" s="225">
        <f t="shared" si="24"/>
        <v>0</v>
      </c>
      <c r="V117" s="210">
        <f t="shared" si="25"/>
        <v>0</v>
      </c>
      <c r="W117" s="229"/>
      <c r="X117" s="210"/>
      <c r="Y117" s="210"/>
      <c r="Z117" s="225">
        <f t="shared" si="28"/>
        <v>-0.5</v>
      </c>
      <c r="AA117" s="229">
        <f t="shared" si="29"/>
        <v>-0.6</v>
      </c>
      <c r="AB117" s="118">
        <f t="shared" si="26"/>
      </c>
      <c r="AC117" s="120">
        <f t="shared" si="27"/>
      </c>
      <c r="AD117" s="122"/>
      <c r="BE117" s="129"/>
      <c r="BF117" s="129"/>
    </row>
    <row r="118" spans="2:58" ht="12">
      <c r="B118" s="21"/>
      <c r="C118" s="21"/>
      <c r="H118" s="21"/>
      <c r="U118" s="225">
        <f t="shared" si="24"/>
        <v>0</v>
      </c>
      <c r="V118" s="210">
        <f t="shared" si="25"/>
        <v>0</v>
      </c>
      <c r="W118" s="229"/>
      <c r="X118" s="210"/>
      <c r="Y118" s="210"/>
      <c r="Z118" s="225">
        <f t="shared" si="28"/>
        <v>-0.5</v>
      </c>
      <c r="AA118" s="229">
        <f t="shared" si="29"/>
        <v>-0.6</v>
      </c>
      <c r="AB118" s="118">
        <f t="shared" si="26"/>
      </c>
      <c r="AC118" s="120">
        <f t="shared" si="27"/>
      </c>
      <c r="AD118" s="122"/>
      <c r="BE118" s="129"/>
      <c r="BF118" s="129"/>
    </row>
    <row r="119" spans="2:58" ht="12">
      <c r="B119" s="21"/>
      <c r="C119" s="21"/>
      <c r="H119" s="21"/>
      <c r="U119" s="225">
        <f t="shared" si="24"/>
        <v>0</v>
      </c>
      <c r="V119" s="210">
        <f t="shared" si="25"/>
        <v>0</v>
      </c>
      <c r="W119" s="229"/>
      <c r="X119" s="210"/>
      <c r="Y119" s="210"/>
      <c r="Z119" s="225">
        <f t="shared" si="28"/>
        <v>-0.5</v>
      </c>
      <c r="AA119" s="229">
        <f t="shared" si="29"/>
        <v>-0.6</v>
      </c>
      <c r="AB119" s="118">
        <f t="shared" si="26"/>
      </c>
      <c r="AC119" s="120">
        <f t="shared" si="27"/>
      </c>
      <c r="AD119" s="122"/>
      <c r="BE119" s="129"/>
      <c r="BF119" s="129"/>
    </row>
    <row r="120" spans="2:58" ht="12">
      <c r="B120" s="21"/>
      <c r="C120" s="21"/>
      <c r="H120" s="21"/>
      <c r="U120" s="225">
        <f t="shared" si="24"/>
        <v>0</v>
      </c>
      <c r="V120" s="210">
        <f t="shared" si="25"/>
        <v>0</v>
      </c>
      <c r="W120" s="229"/>
      <c r="X120" s="210"/>
      <c r="Y120" s="210"/>
      <c r="Z120" s="225">
        <f t="shared" si="28"/>
        <v>-0.5</v>
      </c>
      <c r="AA120" s="229">
        <f t="shared" si="29"/>
        <v>-0.6</v>
      </c>
      <c r="AB120" s="118">
        <f t="shared" si="26"/>
      </c>
      <c r="AC120" s="120">
        <f t="shared" si="27"/>
      </c>
      <c r="AD120" s="122"/>
      <c r="BE120" s="129"/>
      <c r="BF120" s="129"/>
    </row>
    <row r="121" spans="2:58" ht="12">
      <c r="B121" s="21"/>
      <c r="C121" s="21"/>
      <c r="H121" s="21"/>
      <c r="U121" s="225">
        <f t="shared" si="24"/>
        <v>0</v>
      </c>
      <c r="V121" s="210">
        <f t="shared" si="25"/>
        <v>0</v>
      </c>
      <c r="W121" s="229"/>
      <c r="X121" s="210"/>
      <c r="Y121" s="210"/>
      <c r="Z121" s="225">
        <f t="shared" si="28"/>
        <v>-0.5</v>
      </c>
      <c r="AA121" s="229">
        <f t="shared" si="29"/>
        <v>-0.6</v>
      </c>
      <c r="AB121" s="118">
        <f t="shared" si="26"/>
      </c>
      <c r="AC121" s="120">
        <f t="shared" si="27"/>
      </c>
      <c r="AD121" s="122"/>
      <c r="BE121" s="129"/>
      <c r="BF121" s="129"/>
    </row>
    <row r="122" spans="2:58" ht="12">
      <c r="B122" s="21"/>
      <c r="C122" s="21"/>
      <c r="H122" s="21"/>
      <c r="U122" s="225">
        <f t="shared" si="24"/>
        <v>0</v>
      </c>
      <c r="V122" s="210">
        <f t="shared" si="25"/>
        <v>0</v>
      </c>
      <c r="W122" s="229"/>
      <c r="X122" s="210"/>
      <c r="Y122" s="210"/>
      <c r="Z122" s="225">
        <f t="shared" si="28"/>
        <v>-0.5</v>
      </c>
      <c r="AA122" s="229">
        <f t="shared" si="29"/>
        <v>-0.6</v>
      </c>
      <c r="AB122" s="118">
        <f t="shared" si="26"/>
      </c>
      <c r="AC122" s="120">
        <f t="shared" si="27"/>
      </c>
      <c r="AD122" s="122"/>
      <c r="BE122" s="129"/>
      <c r="BF122" s="129"/>
    </row>
    <row r="123" spans="21:58" ht="12">
      <c r="U123" s="225">
        <f t="shared" si="24"/>
        <v>0</v>
      </c>
      <c r="V123" s="210">
        <f t="shared" si="25"/>
        <v>0</v>
      </c>
      <c r="W123" s="229"/>
      <c r="X123" s="210"/>
      <c r="Y123" s="210"/>
      <c r="Z123" s="225">
        <f t="shared" si="28"/>
        <v>-0.5</v>
      </c>
      <c r="AA123" s="229">
        <f t="shared" si="29"/>
        <v>-0.6</v>
      </c>
      <c r="AB123" s="118">
        <f t="shared" si="26"/>
      </c>
      <c r="AC123" s="120">
        <f t="shared" si="27"/>
      </c>
      <c r="AD123" s="122"/>
      <c r="BE123" s="129"/>
      <c r="BF123" s="129"/>
    </row>
    <row r="124" spans="2:58" ht="12">
      <c r="B124" s="63" t="str">
        <f>IF($AV$61="PT","Équation de la fibre neutre","")</f>
        <v>Équation de la fibre neutre</v>
      </c>
      <c r="C124" s="21"/>
      <c r="G124" s="20" t="str">
        <f>IF(G125="","",ROUND(u,5)&amp;" x "&amp;IF(v&gt;0,"+ ","")&amp;ROUND(v,5)&amp;" y "&amp;IF(w&gt;=0,"+ ","")&amp;ROUND(w,5)&amp;" = 0")</f>
        <v>-0,98118 x -0,19312 y + 0,25043 = 0</v>
      </c>
      <c r="H124" s="23"/>
      <c r="K124" s="72" t="str">
        <f>IF(L124="","",IF($AV$61="PT","Pour x = 0 : y =",""))</f>
        <v>Pour x = 0 : y =</v>
      </c>
      <c r="L124" s="73">
        <f>IF($AV$61="PT",IF(ABS(v)&lt;0.00001,"",-w/v),"")</f>
        <v>1.296761965325298</v>
      </c>
      <c r="M124" s="23" t="str">
        <f>IF($AV$61="PT",IF(L124="","","m"),"")</f>
        <v>m</v>
      </c>
      <c r="S124" s="174"/>
      <c r="T124" s="122" t="s">
        <v>33</v>
      </c>
      <c r="U124" s="225"/>
      <c r="V124" s="210"/>
      <c r="W124" s="229"/>
      <c r="X124" s="210"/>
      <c r="Y124" s="210"/>
      <c r="Z124" s="225"/>
      <c r="AA124" s="229"/>
      <c r="AC124" s="122"/>
      <c r="AD124" s="122"/>
      <c r="BE124" s="129"/>
      <c r="BF124" s="129"/>
    </row>
    <row r="125" spans="2:58" ht="12">
      <c r="B125" s="23" t="str">
        <f>IF($AV$61="PT","(dans le nouveau repère)","")</f>
        <v>(dans le nouveau repère)</v>
      </c>
      <c r="C125" s="21"/>
      <c r="D125" s="69"/>
      <c r="E125" s="69"/>
      <c r="F125" s="36" t="str">
        <f>IF(G125="","","ou encore :")</f>
        <v>ou encore :</v>
      </c>
      <c r="G125" s="23" t="str">
        <f>IF(L124="","",IF($AV$61="PT","y = "&amp;ROUND(AL29,4)&amp;" x  "&amp;IF(AL30&lt;0,"-","+")&amp;" "&amp;SIGN(AL30)*ROUND(AL30,4),""))</f>
        <v>y = -5,0808 x  + 1,2968</v>
      </c>
      <c r="H125" s="23"/>
      <c r="K125" s="72" t="str">
        <f>IF($AV$61="PT","Pour y = 0 : x =","")</f>
        <v>Pour y = 0 : x =</v>
      </c>
      <c r="L125" s="61">
        <f>IF(u=0,"",IF($AV$61="PT",-w/u,""))</f>
        <v>0.2552301996569857</v>
      </c>
      <c r="M125" s="23" t="str">
        <f>IF($AV$61="PT",IF(L125="","","m"),"")</f>
        <v>m</v>
      </c>
      <c r="S125" s="129">
        <v>1</v>
      </c>
      <c r="T125" s="122">
        <f>INDEX(coa,INT((S125-1)/4)+1,2)</f>
        <v>0.1</v>
      </c>
      <c r="U125" s="225">
        <f>IF(T127=0,0,T125+0.01)</f>
        <v>0.11</v>
      </c>
      <c r="V125" s="210">
        <f>IF(T127=0,0,T126+0.01)</f>
        <v>0.11</v>
      </c>
      <c r="W125" s="229"/>
      <c r="X125" s="210"/>
      <c r="Y125" s="210">
        <f>INDEX(coag,INT((S125-1)/4)+1,1)</f>
        <v>-0.4</v>
      </c>
      <c r="Z125" s="210">
        <f>IF(T127=0,0,Y125+0.01)</f>
        <v>-0.39</v>
      </c>
      <c r="AA125" s="210">
        <f>IF(T127=0,0,Y126+0.01)</f>
        <v>-0.49</v>
      </c>
      <c r="AC125" s="122"/>
      <c r="AD125" s="122"/>
      <c r="BE125" s="129"/>
      <c r="BF125" s="129"/>
    </row>
    <row r="126" spans="5:58" ht="12">
      <c r="E126" s="23"/>
      <c r="K126" s="72" t="str">
        <f>IF($AV$61="PT","Pente :","")</f>
        <v>Pente :</v>
      </c>
      <c r="L126" s="24">
        <f>IF($AV$61="PT",ROUND(BA11*180/PI(),2),"")</f>
        <v>-78.87</v>
      </c>
      <c r="M126" s="23" t="str">
        <f>IF($AV$61="PT","°","")</f>
        <v>°</v>
      </c>
      <c r="S126" s="129">
        <v>2</v>
      </c>
      <c r="T126" s="122">
        <f>INDEX(coa,INT((S125-1)/4)+1,3)</f>
        <v>0.1</v>
      </c>
      <c r="U126" s="225">
        <f>U125</f>
        <v>0.11</v>
      </c>
      <c r="V126" s="210">
        <f>IF(T127=0,0,T126-0.01)</f>
        <v>0.09000000000000001</v>
      </c>
      <c r="W126" s="229"/>
      <c r="X126" s="210"/>
      <c r="Y126" s="210">
        <f>INDEX(coag,INT((S125-1)/4)+1,2)</f>
        <v>-0.5</v>
      </c>
      <c r="Z126" s="210">
        <f>Z125</f>
        <v>-0.39</v>
      </c>
      <c r="AA126" s="210">
        <f>IF(T127=0,0,Y126-0.01)</f>
        <v>-0.51</v>
      </c>
      <c r="AC126" s="122"/>
      <c r="AD126" s="122"/>
      <c r="BE126" s="129"/>
      <c r="BF126" s="129"/>
    </row>
    <row r="127" spans="2:58" ht="12">
      <c r="B127" s="21"/>
      <c r="S127" s="129">
        <v>3</v>
      </c>
      <c r="T127" s="210">
        <f>INDEX(coa,INT((S125-1)/4)+1,1)/2000</f>
        <v>0.0125</v>
      </c>
      <c r="U127" s="225">
        <f>IF(T127=0,0,T125-0.01)</f>
        <v>0.09000000000000001</v>
      </c>
      <c r="V127" s="210">
        <f>V126</f>
        <v>0.09000000000000001</v>
      </c>
      <c r="W127" s="229"/>
      <c r="X127" s="210"/>
      <c r="Y127" s="210">
        <f>T127</f>
        <v>0.0125</v>
      </c>
      <c r="Z127" s="210">
        <f>IF(T127=0,0,Y125-0.01)</f>
        <v>-0.41000000000000003</v>
      </c>
      <c r="AA127" s="210">
        <f>AA126</f>
        <v>-0.51</v>
      </c>
      <c r="AC127" s="122"/>
      <c r="AD127" s="122"/>
      <c r="BE127" s="129"/>
      <c r="BF127" s="129"/>
    </row>
    <row r="128" spans="2:58" ht="12">
      <c r="B128" s="78" t="s">
        <v>268</v>
      </c>
      <c r="S128" s="129">
        <v>4</v>
      </c>
      <c r="U128" s="225">
        <f>U127</f>
        <v>0.09000000000000001</v>
      </c>
      <c r="V128" s="210">
        <f>V125</f>
        <v>0.11</v>
      </c>
      <c r="W128" s="229"/>
      <c r="X128" s="210"/>
      <c r="Y128" s="210"/>
      <c r="Z128" s="210">
        <f>Z127</f>
        <v>-0.41000000000000003</v>
      </c>
      <c r="AA128" s="210">
        <f>AA125</f>
        <v>-0.49</v>
      </c>
      <c r="AC128" s="122"/>
      <c r="AD128" s="122"/>
      <c r="BE128" s="129"/>
      <c r="BF128" s="129"/>
    </row>
    <row r="129" spans="2:58" ht="12">
      <c r="B129" s="21"/>
      <c r="U129" s="225">
        <f>U125</f>
        <v>0.11</v>
      </c>
      <c r="V129" s="210">
        <f>V125</f>
        <v>0.11</v>
      </c>
      <c r="W129" s="229"/>
      <c r="X129" s="210"/>
      <c r="Y129" s="210"/>
      <c r="Z129" s="246">
        <f>Z125</f>
        <v>-0.39</v>
      </c>
      <c r="AA129" s="246">
        <f>AA125</f>
        <v>-0.49</v>
      </c>
      <c r="AC129" s="122"/>
      <c r="AD129" s="122"/>
      <c r="BE129" s="129"/>
      <c r="BF129" s="129"/>
    </row>
    <row r="130" spans="2:58" ht="12">
      <c r="B130" s="21"/>
      <c r="C130" s="21"/>
      <c r="H130" s="21"/>
      <c r="U130" s="225"/>
      <c r="V130" s="210"/>
      <c r="W130" s="229"/>
      <c r="X130" s="210"/>
      <c r="Y130" s="210"/>
      <c r="Z130" s="225"/>
      <c r="AA130" s="229"/>
      <c r="AC130" s="122"/>
      <c r="AD130" s="122"/>
      <c r="BE130" s="129"/>
      <c r="BF130" s="129"/>
    </row>
    <row r="131" spans="2:58" ht="12">
      <c r="B131" s="21"/>
      <c r="C131" s="21"/>
      <c r="H131" s="21"/>
      <c r="S131" s="129">
        <v>5</v>
      </c>
      <c r="T131" s="122">
        <f>INDEX(coa,INT((S131-1)/4)+1,2)</f>
        <v>0.36</v>
      </c>
      <c r="U131" s="225">
        <f>IF(T133=0,0,T131+0.01)</f>
        <v>0.37</v>
      </c>
      <c r="V131" s="210">
        <f>IF(T133=0,0,T132+0.01)</f>
        <v>0.11</v>
      </c>
      <c r="W131" s="229"/>
      <c r="X131" s="210"/>
      <c r="Y131" s="210">
        <f>INDEX(coag,INT((S131-1)/4)+1,1)</f>
        <v>-0.14</v>
      </c>
      <c r="Z131" s="210">
        <f>IF(T133=0,0,Y131+0.01)</f>
        <v>-0.13</v>
      </c>
      <c r="AA131" s="210">
        <f>IF(T133=0,0,Y132+0.01)</f>
        <v>-0.49</v>
      </c>
      <c r="AC131" s="122"/>
      <c r="AD131" s="122"/>
      <c r="BE131" s="129"/>
      <c r="BF131" s="129"/>
    </row>
    <row r="132" spans="2:58" ht="12">
      <c r="B132" s="21"/>
      <c r="C132" s="21"/>
      <c r="H132" s="21"/>
      <c r="S132" s="129">
        <v>6</v>
      </c>
      <c r="T132" s="122">
        <f>INDEX(coa,INT((S131-1)/4)+1,3)</f>
        <v>0.1</v>
      </c>
      <c r="U132" s="225">
        <f>U131</f>
        <v>0.37</v>
      </c>
      <c r="V132" s="210">
        <f>IF(T133=0,0,T132-0.01)</f>
        <v>0.09000000000000001</v>
      </c>
      <c r="W132" s="229"/>
      <c r="X132" s="210"/>
      <c r="Y132" s="210">
        <f>INDEX(coag,INT((S131-1)/4)+1,2)</f>
        <v>-0.5</v>
      </c>
      <c r="Z132" s="210">
        <f>Z131</f>
        <v>-0.13</v>
      </c>
      <c r="AA132" s="210">
        <f>IF(T133=0,0,Y132-0.01)</f>
        <v>-0.51</v>
      </c>
      <c r="AC132" s="122"/>
      <c r="AD132" s="122"/>
      <c r="BE132" s="129"/>
      <c r="BF132" s="129"/>
    </row>
    <row r="133" spans="2:58" ht="12">
      <c r="B133" s="21"/>
      <c r="C133" s="21"/>
      <c r="H133" s="21"/>
      <c r="S133" s="129">
        <v>7</v>
      </c>
      <c r="T133" s="210">
        <f>INDEX(coa,INT((S131-1)/4)+1,1)/2000</f>
        <v>0.0125</v>
      </c>
      <c r="U133" s="225">
        <f>IF(T133=0,0,T131-0.01)</f>
        <v>0.35</v>
      </c>
      <c r="V133" s="210">
        <f>V132</f>
        <v>0.09000000000000001</v>
      </c>
      <c r="W133" s="229"/>
      <c r="X133" s="210"/>
      <c r="Y133" s="210">
        <f>T133</f>
        <v>0.0125</v>
      </c>
      <c r="Z133" s="210">
        <f>IF(T133=0,0,Y131-0.01)</f>
        <v>-0.15000000000000002</v>
      </c>
      <c r="AA133" s="210">
        <f>AA132</f>
        <v>-0.51</v>
      </c>
      <c r="AC133" s="122"/>
      <c r="AD133" s="122"/>
      <c r="BE133" s="129"/>
      <c r="BF133" s="129"/>
    </row>
    <row r="134" spans="2:58" ht="12">
      <c r="B134" s="21"/>
      <c r="C134" s="21"/>
      <c r="H134" s="21"/>
      <c r="S134" s="129">
        <v>8</v>
      </c>
      <c r="U134" s="225">
        <f>U133</f>
        <v>0.35</v>
      </c>
      <c r="V134" s="210">
        <f>V131</f>
        <v>0.11</v>
      </c>
      <c r="W134" s="229"/>
      <c r="X134" s="210"/>
      <c r="Y134" s="210"/>
      <c r="Z134" s="210">
        <f>Z133</f>
        <v>-0.15000000000000002</v>
      </c>
      <c r="AA134" s="210">
        <f>AA131</f>
        <v>-0.49</v>
      </c>
      <c r="AC134" s="122"/>
      <c r="AD134" s="122"/>
      <c r="BE134" s="129"/>
      <c r="BF134" s="129"/>
    </row>
    <row r="135" spans="2:58" ht="12">
      <c r="B135" s="21"/>
      <c r="C135" s="21"/>
      <c r="H135" s="21"/>
      <c r="U135" s="225">
        <f>U131</f>
        <v>0.37</v>
      </c>
      <c r="V135" s="210">
        <f>V131</f>
        <v>0.11</v>
      </c>
      <c r="W135" s="229"/>
      <c r="X135" s="210"/>
      <c r="Y135" s="210"/>
      <c r="Z135" s="246">
        <f>Z131</f>
        <v>-0.13</v>
      </c>
      <c r="AA135" s="246">
        <f>AA131</f>
        <v>-0.49</v>
      </c>
      <c r="AC135" s="122"/>
      <c r="AD135" s="122"/>
      <c r="BE135" s="129"/>
      <c r="BF135" s="129"/>
    </row>
    <row r="136" spans="2:58" ht="12">
      <c r="B136" s="21"/>
      <c r="C136" s="21"/>
      <c r="H136" s="21"/>
      <c r="U136" s="225"/>
      <c r="V136" s="210"/>
      <c r="W136" s="229"/>
      <c r="X136" s="210"/>
      <c r="Y136" s="210"/>
      <c r="Z136" s="225"/>
      <c r="AA136" s="229"/>
      <c r="AC136" s="122"/>
      <c r="AD136" s="122"/>
      <c r="BE136" s="129"/>
      <c r="BF136" s="129"/>
    </row>
    <row r="137" spans="2:58" ht="12">
      <c r="B137" s="21"/>
      <c r="C137" s="21"/>
      <c r="H137" s="21"/>
      <c r="S137" s="129">
        <v>9</v>
      </c>
      <c r="T137" s="122">
        <f>INDEX(coa,INT((S137-1)/4)+1,2)</f>
        <v>0.64</v>
      </c>
      <c r="U137" s="225">
        <f>IF(T139=0,0,T137+0.01)</f>
        <v>0.65</v>
      </c>
      <c r="V137" s="210">
        <f>IF(T139=0,0,T138+0.01)</f>
        <v>0.11</v>
      </c>
      <c r="W137" s="229"/>
      <c r="X137" s="210"/>
      <c r="Y137" s="210">
        <f>INDEX(coag,INT((S137-1)/4)+1,1)</f>
        <v>0.14</v>
      </c>
      <c r="Z137" s="210">
        <f>IF(T139=0,0,Y137+0.01)</f>
        <v>0.15000000000000002</v>
      </c>
      <c r="AA137" s="210">
        <f>IF(T139=0,0,Y138+0.01)</f>
        <v>-0.49</v>
      </c>
      <c r="AC137" s="122"/>
      <c r="AD137" s="122"/>
      <c r="BE137" s="129"/>
      <c r="BF137" s="129"/>
    </row>
    <row r="138" spans="2:58" ht="12">
      <c r="B138" s="21"/>
      <c r="C138" s="21"/>
      <c r="H138" s="21"/>
      <c r="S138" s="129">
        <v>10</v>
      </c>
      <c r="T138" s="122">
        <f>INDEX(coa,INT((S137-1)/4)+1,3)</f>
        <v>0.1</v>
      </c>
      <c r="U138" s="225">
        <f>U137</f>
        <v>0.65</v>
      </c>
      <c r="V138" s="210">
        <f>IF(T139=0,0,T138-0.01)</f>
        <v>0.09000000000000001</v>
      </c>
      <c r="W138" s="229"/>
      <c r="X138" s="210"/>
      <c r="Y138" s="210">
        <f>INDEX(coag,INT((S137-1)/4)+1,2)</f>
        <v>-0.5</v>
      </c>
      <c r="Z138" s="210">
        <f>Z137</f>
        <v>0.15000000000000002</v>
      </c>
      <c r="AA138" s="210">
        <f>IF(T139=0,0,Y138-0.01)</f>
        <v>-0.51</v>
      </c>
      <c r="AC138" s="122"/>
      <c r="AD138" s="122"/>
      <c r="BE138" s="129"/>
      <c r="BF138" s="129"/>
    </row>
    <row r="139" spans="2:58" ht="12">
      <c r="B139" s="21"/>
      <c r="C139" s="21"/>
      <c r="H139" s="21"/>
      <c r="S139" s="129">
        <v>11</v>
      </c>
      <c r="T139" s="210">
        <f>INDEX(coa,INT((S137-1)/4)+1,1)/2000</f>
        <v>0.0125</v>
      </c>
      <c r="U139" s="225">
        <f>IF(T139=0,0,T137-0.01)</f>
        <v>0.63</v>
      </c>
      <c r="V139" s="210">
        <f>V138</f>
        <v>0.09000000000000001</v>
      </c>
      <c r="W139" s="229"/>
      <c r="X139" s="210"/>
      <c r="Y139" s="210">
        <f>T139</f>
        <v>0.0125</v>
      </c>
      <c r="Z139" s="210">
        <f>IF(T139=0,0,Y137-0.01)</f>
        <v>0.13</v>
      </c>
      <c r="AA139" s="210">
        <f>AA138</f>
        <v>-0.51</v>
      </c>
      <c r="AC139" s="122"/>
      <c r="AD139" s="122"/>
      <c r="BE139" s="129"/>
      <c r="BF139" s="129"/>
    </row>
    <row r="140" spans="2:58" ht="12">
      <c r="B140" s="21"/>
      <c r="C140" s="21"/>
      <c r="H140" s="21"/>
      <c r="S140" s="129">
        <v>12</v>
      </c>
      <c r="U140" s="225">
        <f>U139</f>
        <v>0.63</v>
      </c>
      <c r="V140" s="210">
        <f>V137</f>
        <v>0.11</v>
      </c>
      <c r="W140" s="229"/>
      <c r="X140" s="210"/>
      <c r="Y140" s="210"/>
      <c r="Z140" s="210">
        <f>Z139</f>
        <v>0.13</v>
      </c>
      <c r="AA140" s="210">
        <f>AA137</f>
        <v>-0.49</v>
      </c>
      <c r="AC140" s="122"/>
      <c r="AD140" s="122"/>
      <c r="BE140" s="129"/>
      <c r="BF140" s="129"/>
    </row>
    <row r="141" spans="2:58" ht="12">
      <c r="B141" s="21"/>
      <c r="C141" s="21"/>
      <c r="H141" s="21"/>
      <c r="U141" s="225">
        <f>U137</f>
        <v>0.65</v>
      </c>
      <c r="V141" s="210">
        <f>V137</f>
        <v>0.11</v>
      </c>
      <c r="W141" s="229"/>
      <c r="X141" s="210"/>
      <c r="Y141" s="210"/>
      <c r="Z141" s="246">
        <f>Z137</f>
        <v>0.15000000000000002</v>
      </c>
      <c r="AA141" s="246">
        <f>AA137</f>
        <v>-0.49</v>
      </c>
      <c r="AC141" s="122"/>
      <c r="AD141" s="122"/>
      <c r="BE141" s="129"/>
      <c r="BF141" s="129"/>
    </row>
    <row r="142" spans="2:58" ht="12">
      <c r="B142" s="21"/>
      <c r="C142" s="21"/>
      <c r="H142" s="21"/>
      <c r="U142" s="225"/>
      <c r="V142" s="210"/>
      <c r="W142" s="229"/>
      <c r="X142" s="210"/>
      <c r="Y142" s="210"/>
      <c r="Z142" s="225"/>
      <c r="AA142" s="229"/>
      <c r="AC142" s="122"/>
      <c r="AD142" s="122"/>
      <c r="BE142" s="129"/>
      <c r="BF142" s="129"/>
    </row>
    <row r="143" spans="2:58" ht="12">
      <c r="B143" s="21"/>
      <c r="C143" s="21"/>
      <c r="H143" s="21"/>
      <c r="S143" s="129">
        <v>13</v>
      </c>
      <c r="T143" s="122">
        <f>INDEX(coa,INT((S143-1)/4)+1,2)</f>
        <v>0.9</v>
      </c>
      <c r="U143" s="225">
        <f>IF(T145=0,0,T143+0.01)</f>
        <v>0.91</v>
      </c>
      <c r="V143" s="210">
        <f>IF(T145=0,0,T144+0.01)</f>
        <v>0.11</v>
      </c>
      <c r="W143" s="229"/>
      <c r="X143" s="210"/>
      <c r="Y143" s="210">
        <f>INDEX(coag,INT((S143-1)/4)+1,1)</f>
        <v>0.4</v>
      </c>
      <c r="Z143" s="210">
        <f>IF(T145=0,0,Y143+0.01)</f>
        <v>0.41000000000000003</v>
      </c>
      <c r="AA143" s="210">
        <f>IF(T145=0,0,Y144+0.01)</f>
        <v>-0.49</v>
      </c>
      <c r="AC143" s="122"/>
      <c r="AD143" s="122"/>
      <c r="BE143" s="129"/>
      <c r="BF143" s="129"/>
    </row>
    <row r="144" spans="2:58" ht="12">
      <c r="B144" s="21"/>
      <c r="C144" s="21"/>
      <c r="H144" s="21"/>
      <c r="S144" s="129">
        <v>14</v>
      </c>
      <c r="T144" s="122">
        <f>INDEX(coa,INT((S143-1)/4)+1,3)</f>
        <v>0.1</v>
      </c>
      <c r="U144" s="225">
        <f>U143</f>
        <v>0.91</v>
      </c>
      <c r="V144" s="210">
        <f>IF(T145=0,0,T144-0.01)</f>
        <v>0.09000000000000001</v>
      </c>
      <c r="W144" s="229"/>
      <c r="X144" s="210"/>
      <c r="Y144" s="210">
        <f>INDEX(coag,INT((S143-1)/4)+1,2)</f>
        <v>-0.5</v>
      </c>
      <c r="Z144" s="210">
        <f>Z143</f>
        <v>0.41000000000000003</v>
      </c>
      <c r="AA144" s="210">
        <f>IF(T145=0,0,Y144-0.01)</f>
        <v>-0.51</v>
      </c>
      <c r="AC144" s="122"/>
      <c r="AD144" s="122"/>
      <c r="BE144" s="129"/>
      <c r="BF144" s="129"/>
    </row>
    <row r="145" spans="2:58" ht="12">
      <c r="B145" s="21"/>
      <c r="C145" s="21"/>
      <c r="H145" s="21"/>
      <c r="S145" s="129">
        <v>15</v>
      </c>
      <c r="T145" s="210">
        <f>INDEX(coa,INT((S143-1)/4)+1,1)/2000</f>
        <v>0.0125</v>
      </c>
      <c r="U145" s="225">
        <f>IF(T145=0,0,T143-0.01)</f>
        <v>0.89</v>
      </c>
      <c r="V145" s="210">
        <f>V144</f>
        <v>0.09000000000000001</v>
      </c>
      <c r="W145" s="229"/>
      <c r="X145" s="210"/>
      <c r="Y145" s="210">
        <f>T145</f>
        <v>0.0125</v>
      </c>
      <c r="Z145" s="210">
        <f>IF(T145=0,0,Y143-0.01)</f>
        <v>0.39</v>
      </c>
      <c r="AA145" s="210">
        <f>AA144</f>
        <v>-0.51</v>
      </c>
      <c r="AC145" s="122"/>
      <c r="AD145" s="122"/>
      <c r="BE145" s="129"/>
      <c r="BF145" s="129"/>
    </row>
    <row r="146" spans="2:58" ht="12">
      <c r="B146" s="21"/>
      <c r="C146" s="21"/>
      <c r="H146" s="21"/>
      <c r="S146" s="129">
        <v>16</v>
      </c>
      <c r="U146" s="225">
        <f>U145</f>
        <v>0.89</v>
      </c>
      <c r="V146" s="210">
        <f>V143</f>
        <v>0.11</v>
      </c>
      <c r="W146" s="229"/>
      <c r="X146" s="210"/>
      <c r="Y146" s="210"/>
      <c r="Z146" s="210">
        <f>Z145</f>
        <v>0.39</v>
      </c>
      <c r="AA146" s="210">
        <f>AA143</f>
        <v>-0.49</v>
      </c>
      <c r="AC146" s="122"/>
      <c r="AD146" s="122"/>
      <c r="BE146" s="129"/>
      <c r="BF146" s="129"/>
    </row>
    <row r="147" spans="2:58" ht="12">
      <c r="B147" s="21"/>
      <c r="C147" s="21"/>
      <c r="H147" s="21"/>
      <c r="U147" s="225">
        <f>U143</f>
        <v>0.91</v>
      </c>
      <c r="V147" s="210">
        <f>V143</f>
        <v>0.11</v>
      </c>
      <c r="W147" s="229"/>
      <c r="X147" s="210"/>
      <c r="Y147" s="210"/>
      <c r="Z147" s="246">
        <f>Z143</f>
        <v>0.41000000000000003</v>
      </c>
      <c r="AA147" s="246">
        <f>AA143</f>
        <v>-0.49</v>
      </c>
      <c r="AC147" s="122"/>
      <c r="AD147" s="122"/>
      <c r="BE147" s="129"/>
      <c r="BF147" s="129"/>
    </row>
    <row r="148" spans="2:58" ht="12">
      <c r="B148" s="21"/>
      <c r="C148" s="21"/>
      <c r="H148" s="21"/>
      <c r="U148" s="225"/>
      <c r="V148" s="210"/>
      <c r="W148" s="229"/>
      <c r="X148" s="210"/>
      <c r="Y148" s="210"/>
      <c r="Z148" s="225"/>
      <c r="AA148" s="229"/>
      <c r="AC148" s="122"/>
      <c r="AD148" s="122"/>
      <c r="BE148" s="129"/>
      <c r="BF148" s="129"/>
    </row>
    <row r="149" spans="2:58" ht="12">
      <c r="B149" s="21"/>
      <c r="C149" s="21"/>
      <c r="H149" s="21"/>
      <c r="S149" s="129">
        <v>17</v>
      </c>
      <c r="T149" s="122">
        <f>INDEX(coa,INT((S149-1)/4)+1,2)</f>
        <v>0.1</v>
      </c>
      <c r="U149" s="225">
        <f>IF(T151=0,0,T149+0.01)</f>
        <v>0.11</v>
      </c>
      <c r="V149" s="210">
        <f>IF(T151=0,0,T150+0.01)</f>
        <v>1.11</v>
      </c>
      <c r="W149" s="229"/>
      <c r="X149" s="210"/>
      <c r="Y149" s="210">
        <f>INDEX(coag,INT((S149-1)/4)+1,1)</f>
        <v>-0.4</v>
      </c>
      <c r="Z149" s="210">
        <f>IF(T151=0,0,Y149+0.01)</f>
        <v>-0.39</v>
      </c>
      <c r="AA149" s="210">
        <f>IF(T151=0,0,Y150+0.01)</f>
        <v>0.5100000000000001</v>
      </c>
      <c r="AC149" s="122"/>
      <c r="AD149" s="122"/>
      <c r="BE149" s="129"/>
      <c r="BF149" s="129"/>
    </row>
    <row r="150" spans="2:58" ht="12">
      <c r="B150" s="21"/>
      <c r="C150" s="21"/>
      <c r="H150" s="21"/>
      <c r="S150" s="129">
        <v>18</v>
      </c>
      <c r="T150" s="122">
        <f>INDEX(coa,INT((S149-1)/4)+1,3)</f>
        <v>1.1</v>
      </c>
      <c r="U150" s="225">
        <f>U149</f>
        <v>0.11</v>
      </c>
      <c r="V150" s="210">
        <f>IF(T151=0,0,T150-0.01)</f>
        <v>1.09</v>
      </c>
      <c r="W150" s="229"/>
      <c r="X150" s="210"/>
      <c r="Y150" s="210">
        <f>INDEX(coag,INT((S149-1)/4)+1,2)</f>
        <v>0.5000000000000001</v>
      </c>
      <c r="Z150" s="210">
        <f>Z149</f>
        <v>-0.39</v>
      </c>
      <c r="AA150" s="210">
        <f>IF(T151=0,0,Y150-0.01)</f>
        <v>0.4900000000000001</v>
      </c>
      <c r="AC150" s="122"/>
      <c r="AD150" s="122"/>
      <c r="BE150" s="129"/>
      <c r="BF150" s="129"/>
    </row>
    <row r="151" spans="2:58" ht="12">
      <c r="B151" s="21"/>
      <c r="C151" s="21"/>
      <c r="H151" s="21"/>
      <c r="S151" s="129">
        <v>19</v>
      </c>
      <c r="T151" s="210">
        <f>INDEX(coa,INT((S149-1)/4)+1,1)/2000</f>
        <v>0.0125</v>
      </c>
      <c r="U151" s="225">
        <f>IF(T151=0,0,T149-0.01)</f>
        <v>0.09000000000000001</v>
      </c>
      <c r="V151" s="210">
        <f>V150</f>
        <v>1.09</v>
      </c>
      <c r="W151" s="229"/>
      <c r="X151" s="210"/>
      <c r="Y151" s="210">
        <f>T151</f>
        <v>0.0125</v>
      </c>
      <c r="Z151" s="210">
        <f>IF(T151=0,0,Y149-0.01)</f>
        <v>-0.41000000000000003</v>
      </c>
      <c r="AA151" s="210">
        <f>AA150</f>
        <v>0.4900000000000001</v>
      </c>
      <c r="AC151" s="122"/>
      <c r="AD151" s="122"/>
      <c r="BE151" s="129"/>
      <c r="BF151" s="129"/>
    </row>
    <row r="152" spans="2:58" ht="12">
      <c r="B152" s="21"/>
      <c r="C152" s="21"/>
      <c r="H152" s="21"/>
      <c r="S152" s="129">
        <v>20</v>
      </c>
      <c r="U152" s="225">
        <f>U151</f>
        <v>0.09000000000000001</v>
      </c>
      <c r="V152" s="210">
        <f>V149</f>
        <v>1.11</v>
      </c>
      <c r="W152" s="229"/>
      <c r="X152" s="210"/>
      <c r="Y152" s="210"/>
      <c r="Z152" s="210">
        <f>Z151</f>
        <v>-0.41000000000000003</v>
      </c>
      <c r="AA152" s="210">
        <f>AA149</f>
        <v>0.5100000000000001</v>
      </c>
      <c r="AC152" s="122"/>
      <c r="AD152" s="122"/>
      <c r="BE152" s="129"/>
      <c r="BF152" s="129"/>
    </row>
    <row r="153" spans="2:58" ht="12">
      <c r="B153" s="21"/>
      <c r="C153" s="21"/>
      <c r="H153" s="21"/>
      <c r="U153" s="225">
        <f>U149</f>
        <v>0.11</v>
      </c>
      <c r="V153" s="210">
        <f>V149</f>
        <v>1.11</v>
      </c>
      <c r="W153" s="229"/>
      <c r="X153" s="210"/>
      <c r="Y153" s="210"/>
      <c r="Z153" s="246">
        <f>Z149</f>
        <v>-0.39</v>
      </c>
      <c r="AA153" s="246">
        <f>AA149</f>
        <v>0.5100000000000001</v>
      </c>
      <c r="AC153" s="122"/>
      <c r="AD153" s="122"/>
      <c r="BE153" s="129"/>
      <c r="BF153" s="129"/>
    </row>
    <row r="154" spans="2:58" ht="12">
      <c r="B154" s="21"/>
      <c r="C154" s="21"/>
      <c r="H154" s="21"/>
      <c r="U154" s="225"/>
      <c r="V154" s="210"/>
      <c r="W154" s="229"/>
      <c r="X154" s="210"/>
      <c r="Y154" s="210"/>
      <c r="Z154" s="225"/>
      <c r="AA154" s="229"/>
      <c r="AC154" s="122"/>
      <c r="AD154" s="122"/>
      <c r="BE154" s="129"/>
      <c r="BF154" s="129"/>
    </row>
    <row r="155" spans="2:58" ht="12">
      <c r="B155" s="21"/>
      <c r="C155" s="21"/>
      <c r="H155" s="21"/>
      <c r="S155" s="129">
        <v>21</v>
      </c>
      <c r="T155" s="122">
        <f>INDEX(coa,INT((S155-1)/4)+1,2)</f>
        <v>0.36</v>
      </c>
      <c r="U155" s="225">
        <f>IF(T157=0,0,T155+0.01)</f>
        <v>0.37</v>
      </c>
      <c r="V155" s="210">
        <f>IF(T157=0,0,T156+0.01)</f>
        <v>1.11</v>
      </c>
      <c r="W155" s="229"/>
      <c r="X155" s="210"/>
      <c r="Y155" s="210">
        <f>INDEX(coag,INT((S155-1)/4)+1,1)</f>
        <v>-0.14</v>
      </c>
      <c r="Z155" s="210">
        <f>IF(T157=0,0,Y155+0.01)</f>
        <v>-0.13</v>
      </c>
      <c r="AA155" s="210">
        <f>IF(T157=0,0,Y156+0.01)</f>
        <v>0.5100000000000001</v>
      </c>
      <c r="AC155" s="122"/>
      <c r="AD155" s="122"/>
      <c r="BE155" s="129"/>
      <c r="BF155" s="129"/>
    </row>
    <row r="156" spans="2:58" ht="12">
      <c r="B156" s="21"/>
      <c r="C156" s="21"/>
      <c r="H156" s="21"/>
      <c r="S156" s="129">
        <v>22</v>
      </c>
      <c r="T156" s="122">
        <f>INDEX(coa,INT((S155-1)/4)+1,3)</f>
        <v>1.1</v>
      </c>
      <c r="U156" s="225">
        <f>U155</f>
        <v>0.37</v>
      </c>
      <c r="V156" s="210">
        <f>IF(T157=0,0,T156-0.01)</f>
        <v>1.09</v>
      </c>
      <c r="W156" s="229"/>
      <c r="X156" s="210"/>
      <c r="Y156" s="210">
        <f>INDEX(coag,INT((S155-1)/4)+1,2)</f>
        <v>0.5000000000000001</v>
      </c>
      <c r="Z156" s="210">
        <f>Z155</f>
        <v>-0.13</v>
      </c>
      <c r="AA156" s="210">
        <f>IF(T157=0,0,Y156-0.01)</f>
        <v>0.4900000000000001</v>
      </c>
      <c r="AC156" s="122"/>
      <c r="AD156" s="122"/>
      <c r="BE156" s="129"/>
      <c r="BF156" s="129"/>
    </row>
    <row r="157" spans="2:58" ht="12">
      <c r="B157" s="21"/>
      <c r="C157" s="21"/>
      <c r="H157" s="21"/>
      <c r="S157" s="129">
        <v>23</v>
      </c>
      <c r="T157" s="210">
        <f>INDEX(coa,INT((S155-1)/4)+1,1)/2000</f>
        <v>0.0125</v>
      </c>
      <c r="U157" s="225">
        <f>IF(T157=0,0,T155-0.01)</f>
        <v>0.35</v>
      </c>
      <c r="V157" s="210">
        <f>V156</f>
        <v>1.09</v>
      </c>
      <c r="W157" s="229"/>
      <c r="X157" s="210"/>
      <c r="Y157" s="210">
        <f>T157</f>
        <v>0.0125</v>
      </c>
      <c r="Z157" s="210">
        <f>IF(T157=0,0,Y155-0.01)</f>
        <v>-0.15000000000000002</v>
      </c>
      <c r="AA157" s="210">
        <f>AA156</f>
        <v>0.4900000000000001</v>
      </c>
      <c r="AC157" s="122"/>
      <c r="AD157" s="122"/>
      <c r="BE157" s="129"/>
      <c r="BF157" s="129"/>
    </row>
    <row r="158" spans="2:58" ht="12">
      <c r="B158" s="21"/>
      <c r="C158" s="21"/>
      <c r="H158" s="21"/>
      <c r="S158" s="129">
        <v>24</v>
      </c>
      <c r="U158" s="225">
        <f>U157</f>
        <v>0.35</v>
      </c>
      <c r="V158" s="210">
        <f>V155</f>
        <v>1.11</v>
      </c>
      <c r="W158" s="229"/>
      <c r="X158" s="210"/>
      <c r="Y158" s="210"/>
      <c r="Z158" s="210">
        <f>Z157</f>
        <v>-0.15000000000000002</v>
      </c>
      <c r="AA158" s="210">
        <f>AA155</f>
        <v>0.5100000000000001</v>
      </c>
      <c r="AC158" s="122"/>
      <c r="AD158" s="122"/>
      <c r="BE158" s="129"/>
      <c r="BF158" s="129"/>
    </row>
    <row r="159" spans="2:58" ht="12">
      <c r="B159" s="21"/>
      <c r="C159" s="21"/>
      <c r="H159" s="21"/>
      <c r="U159" s="225">
        <f>U155</f>
        <v>0.37</v>
      </c>
      <c r="V159" s="210">
        <f>V155</f>
        <v>1.11</v>
      </c>
      <c r="W159" s="229"/>
      <c r="X159" s="210"/>
      <c r="Y159" s="210"/>
      <c r="Z159" s="246">
        <f>Z155</f>
        <v>-0.13</v>
      </c>
      <c r="AA159" s="246">
        <f>AA155</f>
        <v>0.5100000000000001</v>
      </c>
      <c r="AC159" s="122"/>
      <c r="AD159" s="122"/>
      <c r="BE159" s="129"/>
      <c r="BF159" s="129"/>
    </row>
    <row r="160" spans="2:58" ht="12">
      <c r="B160" s="21"/>
      <c r="C160" s="21"/>
      <c r="H160" s="21"/>
      <c r="U160" s="225"/>
      <c r="V160" s="210"/>
      <c r="W160" s="229"/>
      <c r="X160" s="210"/>
      <c r="Y160" s="210"/>
      <c r="Z160" s="225"/>
      <c r="AA160" s="229"/>
      <c r="AC160" s="122"/>
      <c r="AD160" s="122"/>
      <c r="BE160" s="129"/>
      <c r="BF160" s="129"/>
    </row>
    <row r="161" spans="2:58" ht="12">
      <c r="B161" s="21"/>
      <c r="C161" s="21"/>
      <c r="H161" s="21"/>
      <c r="S161" s="129">
        <v>25</v>
      </c>
      <c r="T161" s="122">
        <f>INDEX(coa,INT((S161-1)/4)+1,2)</f>
        <v>0.64</v>
      </c>
      <c r="U161" s="225">
        <f>IF(T163=0,0,T161+0.01)</f>
        <v>0.65</v>
      </c>
      <c r="V161" s="210">
        <f>IF(T163=0,0,T162+0.01)</f>
        <v>1.11</v>
      </c>
      <c r="W161" s="229"/>
      <c r="X161" s="210"/>
      <c r="Y161" s="210">
        <f>INDEX(coag,INT((S161-1)/4)+1,1)</f>
        <v>0.14</v>
      </c>
      <c r="Z161" s="210">
        <f>IF(T163=0,0,Y161+0.01)</f>
        <v>0.15000000000000002</v>
      </c>
      <c r="AA161" s="210">
        <f>IF(T163=0,0,Y162+0.01)</f>
        <v>0.5100000000000001</v>
      </c>
      <c r="AC161" s="122"/>
      <c r="AD161" s="122"/>
      <c r="BE161" s="129"/>
      <c r="BF161" s="129"/>
    </row>
    <row r="162" spans="2:58" ht="12">
      <c r="B162" s="21"/>
      <c r="C162" s="21"/>
      <c r="H162" s="21"/>
      <c r="S162" s="129">
        <v>26</v>
      </c>
      <c r="T162" s="122">
        <f>INDEX(coa,INT((S161-1)/4)+1,3)</f>
        <v>1.1</v>
      </c>
      <c r="U162" s="225">
        <f>U161</f>
        <v>0.65</v>
      </c>
      <c r="V162" s="210">
        <f>IF(T163=0,0,T162-0.01)</f>
        <v>1.09</v>
      </c>
      <c r="W162" s="229"/>
      <c r="X162" s="210"/>
      <c r="Y162" s="210">
        <f>INDEX(coag,INT((S161-1)/4)+1,2)</f>
        <v>0.5000000000000001</v>
      </c>
      <c r="Z162" s="210">
        <f>Z161</f>
        <v>0.15000000000000002</v>
      </c>
      <c r="AA162" s="210">
        <f>IF(T163=0,0,Y162-0.01)</f>
        <v>0.4900000000000001</v>
      </c>
      <c r="AC162" s="122"/>
      <c r="AD162" s="122"/>
      <c r="BE162" s="129"/>
      <c r="BF162" s="129"/>
    </row>
    <row r="163" spans="2:58" ht="12">
      <c r="B163" s="21"/>
      <c r="C163" s="21"/>
      <c r="H163" s="21"/>
      <c r="S163" s="129">
        <v>27</v>
      </c>
      <c r="T163" s="210">
        <f>INDEX(coa,INT((S161-1)/4)+1,1)/2000</f>
        <v>0.0125</v>
      </c>
      <c r="U163" s="225">
        <f>IF(T163=0,0,T161-0.01)</f>
        <v>0.63</v>
      </c>
      <c r="V163" s="210">
        <f>V162</f>
        <v>1.09</v>
      </c>
      <c r="W163" s="229"/>
      <c r="X163" s="210"/>
      <c r="Y163" s="210">
        <f>T163</f>
        <v>0.0125</v>
      </c>
      <c r="Z163" s="210">
        <f>IF(T163=0,0,Y161-0.01)</f>
        <v>0.13</v>
      </c>
      <c r="AA163" s="210">
        <f>AA162</f>
        <v>0.4900000000000001</v>
      </c>
      <c r="AC163" s="122"/>
      <c r="AD163" s="122"/>
      <c r="BE163" s="129"/>
      <c r="BF163" s="129"/>
    </row>
    <row r="164" spans="2:58" ht="12">
      <c r="B164" s="21"/>
      <c r="C164" s="21"/>
      <c r="H164" s="21"/>
      <c r="S164" s="129">
        <v>28</v>
      </c>
      <c r="U164" s="225">
        <f>U163</f>
        <v>0.63</v>
      </c>
      <c r="V164" s="210">
        <f>V161</f>
        <v>1.11</v>
      </c>
      <c r="W164" s="229"/>
      <c r="X164" s="210"/>
      <c r="Y164" s="210"/>
      <c r="Z164" s="210">
        <f>Z163</f>
        <v>0.13</v>
      </c>
      <c r="AA164" s="210">
        <f>AA161</f>
        <v>0.5100000000000001</v>
      </c>
      <c r="AC164" s="122"/>
      <c r="AD164" s="122"/>
      <c r="BE164" s="129"/>
      <c r="BF164" s="129"/>
    </row>
    <row r="165" spans="2:58" ht="12">
      <c r="B165" s="21"/>
      <c r="C165" s="21"/>
      <c r="H165" s="21"/>
      <c r="U165" s="225">
        <f>U161</f>
        <v>0.65</v>
      </c>
      <c r="V165" s="210">
        <f>V161</f>
        <v>1.11</v>
      </c>
      <c r="W165" s="229"/>
      <c r="X165" s="210"/>
      <c r="Y165" s="210"/>
      <c r="Z165" s="246">
        <f>Z161</f>
        <v>0.15000000000000002</v>
      </c>
      <c r="AA165" s="246">
        <f>AA161</f>
        <v>0.5100000000000001</v>
      </c>
      <c r="AC165" s="122"/>
      <c r="AD165" s="122"/>
      <c r="BE165" s="129"/>
      <c r="BF165" s="129"/>
    </row>
    <row r="166" spans="2:58" ht="12">
      <c r="B166" s="21"/>
      <c r="C166" s="21"/>
      <c r="H166" s="21"/>
      <c r="U166" s="225"/>
      <c r="V166" s="210"/>
      <c r="W166" s="229"/>
      <c r="X166" s="210"/>
      <c r="Y166" s="210"/>
      <c r="Z166" s="225"/>
      <c r="AA166" s="229"/>
      <c r="AC166" s="122"/>
      <c r="AD166" s="122"/>
      <c r="BE166" s="129"/>
      <c r="BF166" s="129"/>
    </row>
    <row r="167" spans="2:58" ht="12">
      <c r="B167" s="21"/>
      <c r="C167" s="21"/>
      <c r="H167" s="21"/>
      <c r="S167" s="129">
        <v>29</v>
      </c>
      <c r="T167" s="122">
        <f>INDEX(coa,INT((S167-1)/4)+1,2)</f>
        <v>0.9</v>
      </c>
      <c r="U167" s="225">
        <f>IF(T169=0,0,T167+0.01)</f>
        <v>0.91</v>
      </c>
      <c r="V167" s="210">
        <f>IF(T169=0,0,T168+0.01)</f>
        <v>1.11</v>
      </c>
      <c r="W167" s="229"/>
      <c r="X167" s="210"/>
      <c r="Y167" s="210">
        <f>INDEX(coag,INT((S167-1)/4)+1,1)</f>
        <v>0.4</v>
      </c>
      <c r="Z167" s="210">
        <f>IF(T169=0,0,Y167+0.01)</f>
        <v>0.41000000000000003</v>
      </c>
      <c r="AA167" s="210">
        <f>IF(T169=0,0,Y168+0.01)</f>
        <v>0.5100000000000001</v>
      </c>
      <c r="AC167" s="122"/>
      <c r="AD167" s="122"/>
      <c r="BE167" s="129"/>
      <c r="BF167" s="129"/>
    </row>
    <row r="168" spans="2:58" ht="12">
      <c r="B168" s="21"/>
      <c r="C168" s="21"/>
      <c r="H168" s="21"/>
      <c r="S168" s="129">
        <v>30</v>
      </c>
      <c r="T168" s="122">
        <f>INDEX(coa,INT((S167-1)/4)+1,3)</f>
        <v>1.1</v>
      </c>
      <c r="U168" s="225">
        <f>U167</f>
        <v>0.91</v>
      </c>
      <c r="V168" s="210">
        <f>IF(T169=0,0,T168-0.01)</f>
        <v>1.09</v>
      </c>
      <c r="W168" s="229"/>
      <c r="X168" s="210"/>
      <c r="Y168" s="210">
        <f>INDEX(coag,INT((S167-1)/4)+1,2)</f>
        <v>0.5000000000000001</v>
      </c>
      <c r="Z168" s="210">
        <f>Z167</f>
        <v>0.41000000000000003</v>
      </c>
      <c r="AA168" s="210">
        <f>IF(T169=0,0,Y168-0.01)</f>
        <v>0.4900000000000001</v>
      </c>
      <c r="AC168" s="122"/>
      <c r="AD168" s="122"/>
      <c r="BE168" s="129"/>
      <c r="BF168" s="129"/>
    </row>
    <row r="169" spans="2:58" ht="12">
      <c r="B169" s="21"/>
      <c r="C169" s="21"/>
      <c r="H169" s="21"/>
      <c r="S169" s="129">
        <v>31</v>
      </c>
      <c r="T169" s="210">
        <f>INDEX(coa,INT((S167-1)/4)+1,1)/2000</f>
        <v>0.0125</v>
      </c>
      <c r="U169" s="225">
        <f>IF(T169=0,0,T167-0.01)</f>
        <v>0.89</v>
      </c>
      <c r="V169" s="210">
        <f>V168</f>
        <v>1.09</v>
      </c>
      <c r="W169" s="229"/>
      <c r="X169" s="210"/>
      <c r="Y169" s="210">
        <f>T169</f>
        <v>0.0125</v>
      </c>
      <c r="Z169" s="210">
        <f>IF(T169=0,0,Y167-0.01)</f>
        <v>0.39</v>
      </c>
      <c r="AA169" s="210">
        <f>AA168</f>
        <v>0.4900000000000001</v>
      </c>
      <c r="AC169" s="122"/>
      <c r="AD169" s="122"/>
      <c r="BE169" s="129"/>
      <c r="BF169" s="129"/>
    </row>
    <row r="170" spans="2:58" ht="12">
      <c r="B170" s="21"/>
      <c r="C170" s="21"/>
      <c r="H170" s="21"/>
      <c r="S170" s="129">
        <v>32</v>
      </c>
      <c r="U170" s="225">
        <f>U169</f>
        <v>0.89</v>
      </c>
      <c r="V170" s="210">
        <f>V167</f>
        <v>1.11</v>
      </c>
      <c r="W170" s="229"/>
      <c r="X170" s="210"/>
      <c r="Y170" s="210"/>
      <c r="Z170" s="210">
        <f>Z169</f>
        <v>0.39</v>
      </c>
      <c r="AA170" s="210">
        <f>AA167</f>
        <v>0.5100000000000001</v>
      </c>
      <c r="AC170" s="122"/>
      <c r="AD170" s="122"/>
      <c r="BE170" s="129"/>
      <c r="BF170" s="129"/>
    </row>
    <row r="171" spans="2:58" ht="12">
      <c r="B171" s="21"/>
      <c r="C171" s="21"/>
      <c r="H171" s="21"/>
      <c r="U171" s="225">
        <f>U167</f>
        <v>0.91</v>
      </c>
      <c r="V171" s="210">
        <f>V167</f>
        <v>1.11</v>
      </c>
      <c r="W171" s="229"/>
      <c r="X171" s="210"/>
      <c r="Y171" s="210"/>
      <c r="Z171" s="246">
        <f>Z167</f>
        <v>0.41000000000000003</v>
      </c>
      <c r="AA171" s="246">
        <f>AA167</f>
        <v>0.5100000000000001</v>
      </c>
      <c r="AC171" s="122"/>
      <c r="AD171" s="122"/>
      <c r="BE171" s="129"/>
      <c r="BF171" s="129"/>
    </row>
    <row r="172" spans="2:58" ht="12">
      <c r="B172" s="21"/>
      <c r="C172" s="21"/>
      <c r="H172" s="21"/>
      <c r="U172" s="225"/>
      <c r="V172" s="210"/>
      <c r="W172" s="229"/>
      <c r="X172" s="210"/>
      <c r="Y172" s="210"/>
      <c r="Z172" s="225"/>
      <c r="AA172" s="229"/>
      <c r="AC172" s="122"/>
      <c r="AD172" s="122"/>
      <c r="BE172" s="129"/>
      <c r="BF172" s="129"/>
    </row>
    <row r="173" spans="2:58" ht="12">
      <c r="B173" s="21"/>
      <c r="C173" s="21"/>
      <c r="H173" s="21"/>
      <c r="S173" s="129">
        <v>33</v>
      </c>
      <c r="T173" s="122">
        <f>INDEX(coa,INT((S173-1)/4)+1,2)</f>
        <v>0.1</v>
      </c>
      <c r="U173" s="225">
        <f>IF(T175=0,0,T173+0.01)</f>
        <v>0.11</v>
      </c>
      <c r="V173" s="210">
        <f>IF(T175=0,0,T174+0.01)</f>
        <v>0.36</v>
      </c>
      <c r="W173" s="229"/>
      <c r="X173" s="210"/>
      <c r="Y173" s="210">
        <f>INDEX(coag,INT((S173-1)/4)+1,1)</f>
        <v>-0.4</v>
      </c>
      <c r="Z173" s="210">
        <f>IF(T175=0,0,Y173+0.01)</f>
        <v>-0.39</v>
      </c>
      <c r="AA173" s="210">
        <f>IF(T175=0,0,Y174+0.01)</f>
        <v>-0.24</v>
      </c>
      <c r="AC173" s="122"/>
      <c r="AD173" s="122"/>
      <c r="BE173" s="129"/>
      <c r="BF173" s="129"/>
    </row>
    <row r="174" spans="2:58" ht="12">
      <c r="B174" s="21"/>
      <c r="C174" s="21"/>
      <c r="H174" s="21"/>
      <c r="S174" s="129">
        <v>34</v>
      </c>
      <c r="T174" s="122">
        <f>INDEX(coa,INT((S173-1)/4)+1,3)</f>
        <v>0.35</v>
      </c>
      <c r="U174" s="225">
        <f>U173</f>
        <v>0.11</v>
      </c>
      <c r="V174" s="210">
        <f>IF(T175=0,0,T174-0.01)</f>
        <v>0.33999999999999997</v>
      </c>
      <c r="W174" s="229"/>
      <c r="X174" s="210"/>
      <c r="Y174" s="210">
        <f>INDEX(coag,INT((S173-1)/4)+1,2)</f>
        <v>-0.25</v>
      </c>
      <c r="Z174" s="210">
        <f>Z173</f>
        <v>-0.39</v>
      </c>
      <c r="AA174" s="210">
        <f>IF(T175=0,0,Y174-0.01)</f>
        <v>-0.26</v>
      </c>
      <c r="AC174" s="122"/>
      <c r="AD174" s="122"/>
      <c r="BE174" s="129"/>
      <c r="BF174" s="129"/>
    </row>
    <row r="175" spans="2:58" ht="12">
      <c r="B175" s="21"/>
      <c r="C175" s="21"/>
      <c r="H175" s="21"/>
      <c r="S175" s="129">
        <v>35</v>
      </c>
      <c r="T175" s="210">
        <f>INDEX(coa,INT((S173-1)/4)+1,1)/2000</f>
        <v>0.0125</v>
      </c>
      <c r="U175" s="225">
        <f>IF(T175=0,0,T173-0.01)</f>
        <v>0.09000000000000001</v>
      </c>
      <c r="V175" s="210">
        <f>V174</f>
        <v>0.33999999999999997</v>
      </c>
      <c r="W175" s="229"/>
      <c r="X175" s="210"/>
      <c r="Y175" s="210">
        <f>T175</f>
        <v>0.0125</v>
      </c>
      <c r="Z175" s="210">
        <f>IF(T175=0,0,Y173-0.01)</f>
        <v>-0.41000000000000003</v>
      </c>
      <c r="AA175" s="210">
        <f>AA174</f>
        <v>-0.26</v>
      </c>
      <c r="AC175" s="122"/>
      <c r="AD175" s="122"/>
      <c r="BE175" s="129"/>
      <c r="BF175" s="129"/>
    </row>
    <row r="176" spans="2:58" ht="12">
      <c r="B176" s="21"/>
      <c r="C176" s="21"/>
      <c r="H176" s="21"/>
      <c r="S176" s="129">
        <v>36</v>
      </c>
      <c r="U176" s="225">
        <f>U175</f>
        <v>0.09000000000000001</v>
      </c>
      <c r="V176" s="210">
        <f>V173</f>
        <v>0.36</v>
      </c>
      <c r="W176" s="229"/>
      <c r="X176" s="210"/>
      <c r="Y176" s="210"/>
      <c r="Z176" s="210">
        <f>Z175</f>
        <v>-0.41000000000000003</v>
      </c>
      <c r="AA176" s="210">
        <f>AA173</f>
        <v>-0.24</v>
      </c>
      <c r="AC176" s="122"/>
      <c r="AD176" s="122"/>
      <c r="BE176" s="129"/>
      <c r="BF176" s="129"/>
    </row>
    <row r="177" spans="2:58" ht="12">
      <c r="B177" s="21"/>
      <c r="C177" s="21"/>
      <c r="H177" s="21"/>
      <c r="U177" s="225">
        <f>U173</f>
        <v>0.11</v>
      </c>
      <c r="V177" s="210">
        <f>V173</f>
        <v>0.36</v>
      </c>
      <c r="W177" s="229"/>
      <c r="X177" s="210"/>
      <c r="Y177" s="210"/>
      <c r="Z177" s="246">
        <f>Z173</f>
        <v>-0.39</v>
      </c>
      <c r="AA177" s="246">
        <f>AA173</f>
        <v>-0.24</v>
      </c>
      <c r="AC177" s="122"/>
      <c r="AD177" s="122"/>
      <c r="BE177" s="129"/>
      <c r="BF177" s="129"/>
    </row>
    <row r="178" spans="2:58" ht="12">
      <c r="B178" s="21"/>
      <c r="C178" s="21"/>
      <c r="H178" s="21"/>
      <c r="U178" s="225"/>
      <c r="V178" s="210"/>
      <c r="W178" s="229"/>
      <c r="X178" s="210"/>
      <c r="Y178" s="210"/>
      <c r="Z178" s="225"/>
      <c r="AA178" s="229"/>
      <c r="AC178" s="122"/>
      <c r="AD178" s="122"/>
      <c r="BE178" s="129"/>
      <c r="BF178" s="129"/>
    </row>
    <row r="179" spans="2:58" ht="12">
      <c r="B179" s="21"/>
      <c r="C179" s="21"/>
      <c r="H179" s="21"/>
      <c r="S179" s="129">
        <v>37</v>
      </c>
      <c r="T179" s="122">
        <f>INDEX(coa,INT((S179-1)/4)+1,2)</f>
        <v>0.9</v>
      </c>
      <c r="U179" s="225">
        <f>IF(T181=0,0,T179+0.01)</f>
        <v>0.91</v>
      </c>
      <c r="V179" s="210">
        <f>IF(T181=0,0,T180+0.01)</f>
        <v>0.37</v>
      </c>
      <c r="W179" s="229"/>
      <c r="X179" s="210"/>
      <c r="Y179" s="210">
        <f>INDEX(coag,INT((S179-1)/4)+1,1)</f>
        <v>0.4</v>
      </c>
      <c r="Z179" s="210">
        <f>IF(T181=0,0,Y179+0.01)</f>
        <v>0.41000000000000003</v>
      </c>
      <c r="AA179" s="210">
        <f>IF(T181=0,0,Y180+0.01)</f>
        <v>-0.22999999999999998</v>
      </c>
      <c r="AC179" s="122"/>
      <c r="AD179" s="122"/>
      <c r="BE179" s="129"/>
      <c r="BF179" s="129"/>
    </row>
    <row r="180" spans="2:58" ht="12">
      <c r="B180" s="21"/>
      <c r="C180" s="21"/>
      <c r="H180" s="21"/>
      <c r="S180" s="129">
        <v>38</v>
      </c>
      <c r="T180" s="122">
        <f>INDEX(coa,INT((S179-1)/4)+1,3)</f>
        <v>0.36</v>
      </c>
      <c r="U180" s="225">
        <f>U179</f>
        <v>0.91</v>
      </c>
      <c r="V180" s="210">
        <f>IF(T181=0,0,T180-0.01)</f>
        <v>0.35</v>
      </c>
      <c r="W180" s="229"/>
      <c r="X180" s="210"/>
      <c r="Y180" s="210">
        <f>INDEX(coag,INT((S179-1)/4)+1,2)</f>
        <v>-0.24</v>
      </c>
      <c r="Z180" s="210">
        <f>Z179</f>
        <v>0.41000000000000003</v>
      </c>
      <c r="AA180" s="210">
        <f>IF(T181=0,0,Y180-0.01)</f>
        <v>-0.25</v>
      </c>
      <c r="AC180" s="122"/>
      <c r="AD180" s="122"/>
      <c r="BE180" s="129"/>
      <c r="BF180" s="129"/>
    </row>
    <row r="181" spans="2:58" ht="12">
      <c r="B181" s="21"/>
      <c r="C181" s="21"/>
      <c r="H181" s="21"/>
      <c r="S181" s="129">
        <v>39</v>
      </c>
      <c r="T181" s="210">
        <f>INDEX(coa,INT((S179-1)/4)+1,1)/2000</f>
        <v>0.0125</v>
      </c>
      <c r="U181" s="225">
        <f>IF(T181=0,0,T179-0.01)</f>
        <v>0.89</v>
      </c>
      <c r="V181" s="210">
        <f>V180</f>
        <v>0.35</v>
      </c>
      <c r="W181" s="229"/>
      <c r="X181" s="210"/>
      <c r="Y181" s="210">
        <f>T181</f>
        <v>0.0125</v>
      </c>
      <c r="Z181" s="210">
        <f>IF(T181=0,0,Y179-0.01)</f>
        <v>0.39</v>
      </c>
      <c r="AA181" s="210">
        <f>AA180</f>
        <v>-0.25</v>
      </c>
      <c r="AC181" s="122"/>
      <c r="AD181" s="122"/>
      <c r="BE181" s="129"/>
      <c r="BF181" s="129"/>
    </row>
    <row r="182" spans="2:58" ht="12">
      <c r="B182" s="21"/>
      <c r="C182" s="21"/>
      <c r="H182" s="21"/>
      <c r="S182" s="129">
        <v>40</v>
      </c>
      <c r="U182" s="225">
        <f>U181</f>
        <v>0.89</v>
      </c>
      <c r="V182" s="210">
        <f>V179</f>
        <v>0.37</v>
      </c>
      <c r="W182" s="229"/>
      <c r="X182" s="210"/>
      <c r="Y182" s="210"/>
      <c r="Z182" s="210">
        <f>Z181</f>
        <v>0.39</v>
      </c>
      <c r="AA182" s="210">
        <f>AA179</f>
        <v>-0.22999999999999998</v>
      </c>
      <c r="AC182" s="122"/>
      <c r="AD182" s="122"/>
      <c r="BE182" s="129"/>
      <c r="BF182" s="129"/>
    </row>
    <row r="183" spans="2:58" ht="12">
      <c r="B183" s="21"/>
      <c r="C183" s="21"/>
      <c r="H183" s="21"/>
      <c r="U183" s="225">
        <f>U179</f>
        <v>0.91</v>
      </c>
      <c r="V183" s="210">
        <f>V179</f>
        <v>0.37</v>
      </c>
      <c r="W183" s="229"/>
      <c r="X183" s="210"/>
      <c r="Y183" s="210"/>
      <c r="Z183" s="246">
        <f>Z179</f>
        <v>0.41000000000000003</v>
      </c>
      <c r="AA183" s="246">
        <f>AA179</f>
        <v>-0.22999999999999998</v>
      </c>
      <c r="AC183" s="122"/>
      <c r="AD183" s="122"/>
      <c r="BE183" s="129"/>
      <c r="BF183" s="129"/>
    </row>
    <row r="184" spans="2:58" ht="12">
      <c r="B184" s="21"/>
      <c r="C184" s="21"/>
      <c r="H184" s="21"/>
      <c r="U184" s="225"/>
      <c r="V184" s="210"/>
      <c r="W184" s="229"/>
      <c r="X184" s="210"/>
      <c r="Y184" s="210"/>
      <c r="Z184" s="225"/>
      <c r="AA184" s="229"/>
      <c r="AC184" s="122"/>
      <c r="AD184" s="122"/>
      <c r="BE184" s="129"/>
      <c r="BF184" s="129"/>
    </row>
    <row r="185" spans="2:58" ht="12">
      <c r="B185" s="21"/>
      <c r="C185" s="21"/>
      <c r="H185" s="21"/>
      <c r="S185" s="129">
        <v>41</v>
      </c>
      <c r="T185" s="122">
        <f>INDEX(coa,INT((S185-1)/4)+1,2)</f>
        <v>0.1</v>
      </c>
      <c r="U185" s="225">
        <f>IF(T187=0,0,T185+0.01)</f>
        <v>0.11</v>
      </c>
      <c r="V185" s="210">
        <f>IF(T187=0,0,T186+0.01)</f>
        <v>0.61</v>
      </c>
      <c r="W185" s="229"/>
      <c r="X185" s="210"/>
      <c r="Y185" s="210">
        <f>INDEX(coag,INT((S185-1)/4)+1,1)</f>
        <v>-0.4</v>
      </c>
      <c r="Z185" s="210">
        <f>IF(T187=0,0,Y185+0.01)</f>
        <v>-0.39</v>
      </c>
      <c r="AA185" s="210">
        <f>IF(T187=0,0,Y186+0.01)</f>
        <v>0.01</v>
      </c>
      <c r="AC185" s="122"/>
      <c r="AD185" s="122"/>
      <c r="BE185" s="129"/>
      <c r="BF185" s="129"/>
    </row>
    <row r="186" spans="2:58" ht="12">
      <c r="B186" s="21"/>
      <c r="C186" s="21"/>
      <c r="H186" s="21"/>
      <c r="S186" s="129">
        <v>42</v>
      </c>
      <c r="T186" s="122">
        <f>INDEX(coa,INT((S185-1)/4)+1,3)</f>
        <v>0.6</v>
      </c>
      <c r="U186" s="225">
        <f>U185</f>
        <v>0.11</v>
      </c>
      <c r="V186" s="210">
        <f>IF(T187=0,0,T186-0.01)</f>
        <v>0.59</v>
      </c>
      <c r="W186" s="229"/>
      <c r="X186" s="210"/>
      <c r="Y186" s="210">
        <f>INDEX(coag,INT((S185-1)/4)+1,2)</f>
        <v>0</v>
      </c>
      <c r="Z186" s="210">
        <f>Z185</f>
        <v>-0.39</v>
      </c>
      <c r="AA186" s="210">
        <f>IF(T187=0,0,Y186-0.01)</f>
        <v>-0.01</v>
      </c>
      <c r="AC186" s="122"/>
      <c r="AD186" s="122"/>
      <c r="BE186" s="129"/>
      <c r="BF186" s="129"/>
    </row>
    <row r="187" spans="2:58" ht="12">
      <c r="B187" s="21"/>
      <c r="C187" s="21"/>
      <c r="H187" s="21"/>
      <c r="S187" s="129">
        <v>43</v>
      </c>
      <c r="T187" s="210">
        <f>INDEX(coa,INT((S185-1)/4)+1,1)/2000</f>
        <v>0.0125</v>
      </c>
      <c r="U187" s="225">
        <f>IF(T187=0,0,T185-0.01)</f>
        <v>0.09000000000000001</v>
      </c>
      <c r="V187" s="210">
        <f>V186</f>
        <v>0.59</v>
      </c>
      <c r="W187" s="229"/>
      <c r="X187" s="210"/>
      <c r="Y187" s="210">
        <f>T187</f>
        <v>0.0125</v>
      </c>
      <c r="Z187" s="210">
        <f>IF(T187=0,0,Y185-0.01)</f>
        <v>-0.41000000000000003</v>
      </c>
      <c r="AA187" s="210">
        <f>AA186</f>
        <v>-0.01</v>
      </c>
      <c r="AC187" s="122"/>
      <c r="AD187" s="122"/>
      <c r="BE187" s="129"/>
      <c r="BF187" s="129"/>
    </row>
    <row r="188" spans="2:58" ht="12">
      <c r="B188" s="21"/>
      <c r="C188" s="21"/>
      <c r="H188" s="21"/>
      <c r="S188" s="129">
        <v>44</v>
      </c>
      <c r="U188" s="225">
        <f>U187</f>
        <v>0.09000000000000001</v>
      </c>
      <c r="V188" s="210">
        <f>V185</f>
        <v>0.61</v>
      </c>
      <c r="W188" s="229"/>
      <c r="X188" s="210"/>
      <c r="Y188" s="210"/>
      <c r="Z188" s="210">
        <f>Z187</f>
        <v>-0.41000000000000003</v>
      </c>
      <c r="AA188" s="210">
        <f>AA185</f>
        <v>0.01</v>
      </c>
      <c r="AC188" s="122"/>
      <c r="AD188" s="122"/>
      <c r="BE188" s="129"/>
      <c r="BF188" s="129"/>
    </row>
    <row r="189" spans="2:58" ht="12">
      <c r="B189" s="21"/>
      <c r="C189" s="21"/>
      <c r="H189" s="21"/>
      <c r="U189" s="225">
        <f>U185</f>
        <v>0.11</v>
      </c>
      <c r="V189" s="210">
        <f>V185</f>
        <v>0.61</v>
      </c>
      <c r="W189" s="229"/>
      <c r="X189" s="210"/>
      <c r="Y189" s="210"/>
      <c r="Z189" s="246">
        <f>Z185</f>
        <v>-0.39</v>
      </c>
      <c r="AA189" s="246">
        <f>AA185</f>
        <v>0.01</v>
      </c>
      <c r="AC189" s="122"/>
      <c r="AD189" s="122"/>
      <c r="BE189" s="129"/>
      <c r="BF189" s="129"/>
    </row>
    <row r="190" spans="2:58" ht="12">
      <c r="B190" s="21"/>
      <c r="C190" s="21"/>
      <c r="H190" s="21"/>
      <c r="U190" s="225"/>
      <c r="V190" s="210"/>
      <c r="W190" s="229"/>
      <c r="X190" s="210"/>
      <c r="Y190" s="210"/>
      <c r="Z190" s="225"/>
      <c r="AA190" s="229"/>
      <c r="AC190" s="122"/>
      <c r="AD190" s="122"/>
      <c r="BE190" s="129"/>
      <c r="BF190" s="129"/>
    </row>
    <row r="191" spans="2:58" ht="12">
      <c r="B191" s="21"/>
      <c r="C191" s="21"/>
      <c r="H191" s="21"/>
      <c r="S191" s="129">
        <v>45</v>
      </c>
      <c r="T191" s="122">
        <f>INDEX(coa,INT((S191-1)/4)+1,2)</f>
        <v>0.9</v>
      </c>
      <c r="U191" s="225">
        <f>IF(T193=0,0,T191+0.01)</f>
        <v>0.91</v>
      </c>
      <c r="V191" s="210">
        <f>IF(T193=0,0,T192+0.01)</f>
        <v>0.61</v>
      </c>
      <c r="W191" s="229"/>
      <c r="X191" s="210"/>
      <c r="Y191" s="210">
        <f>INDEX(coag,INT((S191-1)/4)+1,1)</f>
        <v>0.4</v>
      </c>
      <c r="Z191" s="210">
        <f>IF(T193=0,0,Y191+0.01)</f>
        <v>0.41000000000000003</v>
      </c>
      <c r="AA191" s="210">
        <f>IF(T193=0,0,Y192+0.01)</f>
        <v>0.01</v>
      </c>
      <c r="AC191" s="122"/>
      <c r="AD191" s="122"/>
      <c r="BE191" s="129"/>
      <c r="BF191" s="129"/>
    </row>
    <row r="192" spans="2:58" ht="12">
      <c r="B192" s="21"/>
      <c r="C192" s="21"/>
      <c r="H192" s="21"/>
      <c r="S192" s="129">
        <v>46</v>
      </c>
      <c r="T192" s="122">
        <f>INDEX(coa,INT((S191-1)/4)+1,3)</f>
        <v>0.6</v>
      </c>
      <c r="U192" s="225">
        <f>U191</f>
        <v>0.91</v>
      </c>
      <c r="V192" s="210">
        <f>IF(T193=0,0,T192-0.01)</f>
        <v>0.59</v>
      </c>
      <c r="W192" s="229"/>
      <c r="X192" s="210"/>
      <c r="Y192" s="210">
        <f>INDEX(coag,INT((S191-1)/4)+1,2)</f>
        <v>0</v>
      </c>
      <c r="Z192" s="210">
        <f>Z191</f>
        <v>0.41000000000000003</v>
      </c>
      <c r="AA192" s="210">
        <f>IF(T193=0,0,Y192-0.01)</f>
        <v>-0.01</v>
      </c>
      <c r="AC192" s="122"/>
      <c r="AD192" s="122"/>
      <c r="BE192" s="129"/>
      <c r="BF192" s="129"/>
    </row>
    <row r="193" spans="2:58" ht="12">
      <c r="B193" s="21"/>
      <c r="C193" s="21"/>
      <c r="H193" s="21"/>
      <c r="S193" s="129">
        <v>47</v>
      </c>
      <c r="T193" s="210">
        <f>INDEX(coa,INT((S191-1)/4)+1,1)/2000</f>
        <v>0.0125</v>
      </c>
      <c r="U193" s="225">
        <f>IF(T193=0,0,T191-0.01)</f>
        <v>0.89</v>
      </c>
      <c r="V193" s="210">
        <f>V192</f>
        <v>0.59</v>
      </c>
      <c r="W193" s="229"/>
      <c r="X193" s="210"/>
      <c r="Y193" s="210">
        <f>T193</f>
        <v>0.0125</v>
      </c>
      <c r="Z193" s="210">
        <f>IF(T193=0,0,Y191-0.01)</f>
        <v>0.39</v>
      </c>
      <c r="AA193" s="210">
        <f>AA192</f>
        <v>-0.01</v>
      </c>
      <c r="AC193" s="122"/>
      <c r="AD193" s="122"/>
      <c r="BE193" s="129"/>
      <c r="BF193" s="129"/>
    </row>
    <row r="194" spans="2:58" ht="12">
      <c r="B194" s="21"/>
      <c r="C194" s="21"/>
      <c r="H194" s="21"/>
      <c r="S194" s="129">
        <v>48</v>
      </c>
      <c r="U194" s="225">
        <f>U193</f>
        <v>0.89</v>
      </c>
      <c r="V194" s="210">
        <f>V191</f>
        <v>0.61</v>
      </c>
      <c r="W194" s="229"/>
      <c r="X194" s="210"/>
      <c r="Y194" s="210"/>
      <c r="Z194" s="210">
        <f>Z193</f>
        <v>0.39</v>
      </c>
      <c r="AA194" s="210">
        <f>AA191</f>
        <v>0.01</v>
      </c>
      <c r="AC194" s="122"/>
      <c r="AD194" s="122"/>
      <c r="BE194" s="129"/>
      <c r="BF194" s="129"/>
    </row>
    <row r="195" spans="2:58" ht="12">
      <c r="B195" s="21"/>
      <c r="C195" s="21"/>
      <c r="H195" s="21"/>
      <c r="U195" s="225">
        <f>U191</f>
        <v>0.91</v>
      </c>
      <c r="V195" s="210">
        <f>V191</f>
        <v>0.61</v>
      </c>
      <c r="W195" s="229"/>
      <c r="X195" s="210"/>
      <c r="Y195" s="210"/>
      <c r="Z195" s="246">
        <f>Z191</f>
        <v>0.41000000000000003</v>
      </c>
      <c r="AA195" s="246">
        <f>AA191</f>
        <v>0.01</v>
      </c>
      <c r="AC195" s="122"/>
      <c r="AD195" s="122"/>
      <c r="BE195" s="129"/>
      <c r="BF195" s="129"/>
    </row>
    <row r="196" spans="2:58" ht="12">
      <c r="B196" s="21"/>
      <c r="C196" s="21"/>
      <c r="H196" s="21"/>
      <c r="U196" s="225"/>
      <c r="V196" s="210"/>
      <c r="W196" s="229"/>
      <c r="X196" s="210"/>
      <c r="Y196" s="210"/>
      <c r="Z196" s="225"/>
      <c r="AA196" s="229"/>
      <c r="AC196" s="122"/>
      <c r="AD196" s="122"/>
      <c r="BE196" s="129"/>
      <c r="BF196" s="129"/>
    </row>
    <row r="197" spans="2:58" ht="12">
      <c r="B197" s="21"/>
      <c r="C197" s="21"/>
      <c r="H197" s="21"/>
      <c r="S197" s="129">
        <v>49</v>
      </c>
      <c r="T197" s="122">
        <f>INDEX(coa,INT((S197-1)/4)+1,2)</f>
        <v>0.1</v>
      </c>
      <c r="U197" s="225">
        <f>IF(T199=0,0,T197+0.01)</f>
        <v>0.11</v>
      </c>
      <c r="V197" s="210">
        <f>IF(T199=0,0,T198+0.01)</f>
        <v>0.86</v>
      </c>
      <c r="W197" s="229"/>
      <c r="X197" s="210"/>
      <c r="Y197" s="210">
        <f>INDEX(coag,INT((S197-1)/4)+1,1)</f>
        <v>-0.4</v>
      </c>
      <c r="Z197" s="210">
        <f>IF(T199=0,0,Y197+0.01)</f>
        <v>-0.39</v>
      </c>
      <c r="AA197" s="210">
        <f>IF(T199=0,0,Y198+0.01)</f>
        <v>0.26</v>
      </c>
      <c r="AC197" s="122"/>
      <c r="AD197" s="122"/>
      <c r="BE197" s="129"/>
      <c r="BF197" s="129"/>
    </row>
    <row r="198" spans="2:58" ht="12">
      <c r="B198" s="21"/>
      <c r="C198" s="21"/>
      <c r="H198" s="21"/>
      <c r="S198" s="129">
        <v>50</v>
      </c>
      <c r="T198" s="122">
        <f>INDEX(coa,INT((S197-1)/4)+1,3)</f>
        <v>0.85</v>
      </c>
      <c r="U198" s="225">
        <f>U197</f>
        <v>0.11</v>
      </c>
      <c r="V198" s="210">
        <f>IF(T199=0,0,T198-0.01)</f>
        <v>0.84</v>
      </c>
      <c r="W198" s="229"/>
      <c r="X198" s="210"/>
      <c r="Y198" s="210">
        <f>INDEX(coag,INT((S197-1)/4)+1,2)</f>
        <v>0.25</v>
      </c>
      <c r="Z198" s="210">
        <f>Z197</f>
        <v>-0.39</v>
      </c>
      <c r="AA198" s="210">
        <f>IF(T199=0,0,Y198-0.01)</f>
        <v>0.24</v>
      </c>
      <c r="AC198" s="122"/>
      <c r="AD198" s="122"/>
      <c r="BE198" s="129"/>
      <c r="BF198" s="129"/>
    </row>
    <row r="199" spans="2:58" ht="12">
      <c r="B199" s="21"/>
      <c r="C199" s="21"/>
      <c r="H199" s="21"/>
      <c r="S199" s="129">
        <v>51</v>
      </c>
      <c r="T199" s="210">
        <f>INDEX(coa,INT((S197-1)/4)+1,1)/2000</f>
        <v>0.0125</v>
      </c>
      <c r="U199" s="225">
        <f>IF(T199=0,0,T197-0.01)</f>
        <v>0.09000000000000001</v>
      </c>
      <c r="V199" s="210">
        <f>V198</f>
        <v>0.84</v>
      </c>
      <c r="W199" s="229"/>
      <c r="X199" s="210"/>
      <c r="Y199" s="210">
        <f>T199</f>
        <v>0.0125</v>
      </c>
      <c r="Z199" s="210">
        <f>IF(T199=0,0,Y197-0.01)</f>
        <v>-0.41000000000000003</v>
      </c>
      <c r="AA199" s="210">
        <f>AA198</f>
        <v>0.24</v>
      </c>
      <c r="AC199" s="122"/>
      <c r="AD199" s="122"/>
      <c r="BE199" s="129"/>
      <c r="BF199" s="129"/>
    </row>
    <row r="200" spans="2:58" ht="12">
      <c r="B200" s="21"/>
      <c r="C200" s="21"/>
      <c r="H200" s="21"/>
      <c r="S200" s="129">
        <v>52</v>
      </c>
      <c r="U200" s="225">
        <f>U199</f>
        <v>0.09000000000000001</v>
      </c>
      <c r="V200" s="210">
        <f>V197</f>
        <v>0.86</v>
      </c>
      <c r="W200" s="229"/>
      <c r="X200" s="210"/>
      <c r="Y200" s="210"/>
      <c r="Z200" s="210">
        <f>Z199</f>
        <v>-0.41000000000000003</v>
      </c>
      <c r="AA200" s="210">
        <f>AA197</f>
        <v>0.26</v>
      </c>
      <c r="AC200" s="122"/>
      <c r="AD200" s="122"/>
      <c r="BE200" s="129"/>
      <c r="BF200" s="129"/>
    </row>
    <row r="201" spans="2:58" ht="12">
      <c r="B201" s="21"/>
      <c r="C201" s="21"/>
      <c r="H201" s="21"/>
      <c r="U201" s="225">
        <f>U197</f>
        <v>0.11</v>
      </c>
      <c r="V201" s="210">
        <f>V197</f>
        <v>0.86</v>
      </c>
      <c r="W201" s="229"/>
      <c r="X201" s="210"/>
      <c r="Y201" s="210"/>
      <c r="Z201" s="246">
        <f>Z197</f>
        <v>-0.39</v>
      </c>
      <c r="AA201" s="246">
        <f>AA197</f>
        <v>0.26</v>
      </c>
      <c r="AC201" s="122"/>
      <c r="AD201" s="122"/>
      <c r="BE201" s="129"/>
      <c r="BF201" s="129"/>
    </row>
    <row r="202" spans="2:58" ht="12">
      <c r="B202" s="21"/>
      <c r="C202" s="21"/>
      <c r="H202" s="21"/>
      <c r="U202" s="225"/>
      <c r="V202" s="210"/>
      <c r="W202" s="229"/>
      <c r="X202" s="210"/>
      <c r="Y202" s="210"/>
      <c r="Z202" s="225"/>
      <c r="AA202" s="229"/>
      <c r="AC202" s="122"/>
      <c r="AD202" s="122"/>
      <c r="BE202" s="129"/>
      <c r="BF202" s="129"/>
    </row>
    <row r="203" spans="2:58" ht="12">
      <c r="B203" s="21"/>
      <c r="C203" s="21"/>
      <c r="H203" s="21"/>
      <c r="S203" s="129">
        <v>53</v>
      </c>
      <c r="T203" s="122">
        <f>INDEX(coa,INT((S203-1)/4)+1,2)</f>
        <v>0.9</v>
      </c>
      <c r="U203" s="225">
        <f>IF(T205=0,0,T203+0.01)</f>
        <v>0.91</v>
      </c>
      <c r="V203" s="210">
        <f>IF(T205=0,0,T204+0.01)</f>
        <v>0.86</v>
      </c>
      <c r="W203" s="229"/>
      <c r="X203" s="210"/>
      <c r="Y203" s="210">
        <f>INDEX(coag,INT((S203-1)/4)+1,1)</f>
        <v>0.4</v>
      </c>
      <c r="Z203" s="210">
        <f>IF(T205=0,0,Y203+0.01)</f>
        <v>0.41000000000000003</v>
      </c>
      <c r="AA203" s="210">
        <f>IF(T205=0,0,Y204+0.01)</f>
        <v>0.26</v>
      </c>
      <c r="AC203" s="122"/>
      <c r="AD203" s="122"/>
      <c r="BE203" s="129"/>
      <c r="BF203" s="129"/>
    </row>
    <row r="204" spans="2:58" ht="12">
      <c r="B204" s="21"/>
      <c r="C204" s="21"/>
      <c r="H204" s="21"/>
      <c r="S204" s="129">
        <v>54</v>
      </c>
      <c r="T204" s="122">
        <f>INDEX(coa,INT((S203-1)/4)+1,3)</f>
        <v>0.85</v>
      </c>
      <c r="U204" s="225">
        <f>U203</f>
        <v>0.91</v>
      </c>
      <c r="V204" s="210">
        <f>IF(T205=0,0,T204-0.01)</f>
        <v>0.84</v>
      </c>
      <c r="W204" s="229"/>
      <c r="X204" s="210"/>
      <c r="Y204" s="210">
        <f>INDEX(coag,INT((S203-1)/4)+1,2)</f>
        <v>0.25</v>
      </c>
      <c r="Z204" s="210">
        <f>Z203</f>
        <v>0.41000000000000003</v>
      </c>
      <c r="AA204" s="210">
        <f>IF(T205=0,0,Y204-0.01)</f>
        <v>0.24</v>
      </c>
      <c r="AC204" s="122"/>
      <c r="AD204" s="122"/>
      <c r="BE204" s="129"/>
      <c r="BF204" s="129"/>
    </row>
    <row r="205" spans="2:58" ht="12">
      <c r="B205" s="21"/>
      <c r="C205" s="21"/>
      <c r="H205" s="21"/>
      <c r="S205" s="129">
        <v>55</v>
      </c>
      <c r="T205" s="210">
        <f>INDEX(coa,INT((S203-1)/4)+1,1)/2000</f>
        <v>0.0125</v>
      </c>
      <c r="U205" s="225">
        <f>IF(T205=0,0,T203-0.01)</f>
        <v>0.89</v>
      </c>
      <c r="V205" s="210">
        <f>V204</f>
        <v>0.84</v>
      </c>
      <c r="W205" s="229"/>
      <c r="X205" s="210"/>
      <c r="Y205" s="210">
        <f>T205</f>
        <v>0.0125</v>
      </c>
      <c r="Z205" s="210">
        <f>IF(T205=0,0,Y203-0.01)</f>
        <v>0.39</v>
      </c>
      <c r="AA205" s="210">
        <f>AA204</f>
        <v>0.24</v>
      </c>
      <c r="AC205" s="122"/>
      <c r="AD205" s="122"/>
      <c r="BE205" s="129"/>
      <c r="BF205" s="129"/>
    </row>
    <row r="206" spans="2:58" ht="12">
      <c r="B206" s="21"/>
      <c r="C206" s="21"/>
      <c r="H206" s="21"/>
      <c r="S206" s="129">
        <v>56</v>
      </c>
      <c r="U206" s="225">
        <f>U205</f>
        <v>0.89</v>
      </c>
      <c r="V206" s="210">
        <f>V203</f>
        <v>0.86</v>
      </c>
      <c r="W206" s="229"/>
      <c r="X206" s="210"/>
      <c r="Y206" s="210"/>
      <c r="Z206" s="210">
        <f>Z205</f>
        <v>0.39</v>
      </c>
      <c r="AA206" s="210">
        <f>AA203</f>
        <v>0.26</v>
      </c>
      <c r="AC206" s="122"/>
      <c r="AD206" s="122"/>
      <c r="BE206" s="129"/>
      <c r="BF206" s="129"/>
    </row>
    <row r="207" spans="2:58" ht="12">
      <c r="B207" s="21"/>
      <c r="C207" s="21"/>
      <c r="H207" s="21"/>
      <c r="U207" s="225">
        <f>U203</f>
        <v>0.91</v>
      </c>
      <c r="V207" s="210">
        <f>V203</f>
        <v>0.86</v>
      </c>
      <c r="W207" s="229"/>
      <c r="X207" s="210"/>
      <c r="Y207" s="210"/>
      <c r="Z207" s="246">
        <f>Z203</f>
        <v>0.41000000000000003</v>
      </c>
      <c r="AA207" s="246">
        <f>AA203</f>
        <v>0.26</v>
      </c>
      <c r="AC207" s="122"/>
      <c r="AD207" s="122"/>
      <c r="BE207" s="129"/>
      <c r="BF207" s="129"/>
    </row>
    <row r="208" spans="2:58" ht="12">
      <c r="B208" s="21"/>
      <c r="C208" s="21"/>
      <c r="H208" s="21"/>
      <c r="U208" s="225"/>
      <c r="V208" s="210"/>
      <c r="W208" s="229"/>
      <c r="X208" s="210"/>
      <c r="Y208" s="210"/>
      <c r="Z208" s="225"/>
      <c r="AA208" s="229"/>
      <c r="AC208" s="122"/>
      <c r="AD208" s="122"/>
      <c r="BE208" s="129"/>
      <c r="BF208" s="129"/>
    </row>
    <row r="209" spans="2:58" ht="12">
      <c r="B209" s="21"/>
      <c r="C209" s="21"/>
      <c r="H209" s="21"/>
      <c r="S209" s="129">
        <v>57</v>
      </c>
      <c r="T209" s="122">
        <f>INDEX(coa,INT((S209-1)/4)+1,2)</f>
        <v>0</v>
      </c>
      <c r="U209" s="225">
        <f>IF(T211=0,0,T209+0.01)</f>
        <v>0</v>
      </c>
      <c r="V209" s="210">
        <f>IF(T211=0,0,T210+0.01)</f>
        <v>0</v>
      </c>
      <c r="W209" s="229"/>
      <c r="X209" s="210"/>
      <c r="Y209" s="210">
        <f>INDEX(coag,INT((S209-1)/4)+1,1)</f>
        <v>0</v>
      </c>
      <c r="Z209" s="210">
        <f>IF(T211=0,0,Y209+0.01)</f>
        <v>0</v>
      </c>
      <c r="AA209" s="210">
        <f>IF(T211=0,0,Y210+0.01)</f>
        <v>0</v>
      </c>
      <c r="AC209" s="122"/>
      <c r="AD209" s="122"/>
      <c r="BE209" s="129"/>
      <c r="BF209" s="129"/>
    </row>
    <row r="210" spans="2:58" ht="12">
      <c r="B210" s="21"/>
      <c r="C210" s="21"/>
      <c r="H210" s="21"/>
      <c r="S210" s="129">
        <v>58</v>
      </c>
      <c r="T210" s="122">
        <f>INDEX(coa,INT((S209-1)/4)+1,3)</f>
        <v>0</v>
      </c>
      <c r="U210" s="225">
        <f>U209</f>
        <v>0</v>
      </c>
      <c r="V210" s="210">
        <f>IF(T211=0,0,T210-0.01)</f>
        <v>0</v>
      </c>
      <c r="W210" s="229"/>
      <c r="X210" s="210"/>
      <c r="Y210" s="210">
        <f>INDEX(coag,INT((S209-1)/4)+1,2)</f>
        <v>0</v>
      </c>
      <c r="Z210" s="210">
        <f>Z209</f>
        <v>0</v>
      </c>
      <c r="AA210" s="210">
        <f>IF(T211=0,0,Y210-0.01)</f>
        <v>0</v>
      </c>
      <c r="AC210" s="122"/>
      <c r="AD210" s="122"/>
      <c r="BE210" s="129"/>
      <c r="BF210" s="129"/>
    </row>
    <row r="211" spans="2:58" ht="12">
      <c r="B211" s="21"/>
      <c r="C211" s="21"/>
      <c r="H211" s="21"/>
      <c r="S211" s="129">
        <v>59</v>
      </c>
      <c r="T211" s="210">
        <f>INDEX(coa,INT((S209-1)/4)+1,1)/2000</f>
        <v>0</v>
      </c>
      <c r="U211" s="225">
        <f>IF(T211=0,0,T209-0.01)</f>
        <v>0</v>
      </c>
      <c r="V211" s="210">
        <f>V210</f>
        <v>0</v>
      </c>
      <c r="W211" s="229"/>
      <c r="X211" s="210"/>
      <c r="Y211" s="210">
        <f>T211</f>
        <v>0</v>
      </c>
      <c r="Z211" s="210">
        <f>IF(T211=0,0,Y209-0.01)</f>
        <v>0</v>
      </c>
      <c r="AA211" s="210">
        <f>AA210</f>
        <v>0</v>
      </c>
      <c r="AC211" s="122"/>
      <c r="AD211" s="122"/>
      <c r="BE211" s="129"/>
      <c r="BF211" s="129"/>
    </row>
    <row r="212" spans="2:58" ht="12">
      <c r="B212" s="21"/>
      <c r="C212" s="21"/>
      <c r="H212" s="21"/>
      <c r="S212" s="129">
        <v>60</v>
      </c>
      <c r="U212" s="225">
        <f>U211</f>
        <v>0</v>
      </c>
      <c r="V212" s="210">
        <f>V209</f>
        <v>0</v>
      </c>
      <c r="W212" s="229"/>
      <c r="X212" s="210"/>
      <c r="Y212" s="210"/>
      <c r="Z212" s="210">
        <f>Z211</f>
        <v>0</v>
      </c>
      <c r="AA212" s="210">
        <f>AA209</f>
        <v>0</v>
      </c>
      <c r="AC212" s="122"/>
      <c r="AD212" s="122"/>
      <c r="BE212" s="129"/>
      <c r="BF212" s="129"/>
    </row>
    <row r="213" spans="2:58" ht="12">
      <c r="B213" s="21"/>
      <c r="C213" s="21"/>
      <c r="H213" s="21"/>
      <c r="U213" s="225">
        <f>U209</f>
        <v>0</v>
      </c>
      <c r="V213" s="210">
        <f>V209</f>
        <v>0</v>
      </c>
      <c r="W213" s="229"/>
      <c r="X213" s="210"/>
      <c r="Y213" s="210"/>
      <c r="Z213" s="246">
        <f>Z209</f>
        <v>0</v>
      </c>
      <c r="AA213" s="246">
        <f>AA209</f>
        <v>0</v>
      </c>
      <c r="AC213" s="122"/>
      <c r="AD213" s="122"/>
      <c r="BE213" s="129"/>
      <c r="BF213" s="129"/>
    </row>
    <row r="214" spans="2:58" ht="12">
      <c r="B214" s="21"/>
      <c r="C214" s="21"/>
      <c r="H214" s="21"/>
      <c r="U214" s="225"/>
      <c r="V214" s="210"/>
      <c r="W214" s="229"/>
      <c r="X214" s="210"/>
      <c r="Y214" s="210"/>
      <c r="Z214" s="225"/>
      <c r="AA214" s="229"/>
      <c r="AC214" s="122"/>
      <c r="AD214" s="122"/>
      <c r="BE214" s="129"/>
      <c r="BF214" s="129"/>
    </row>
    <row r="215" spans="2:58" ht="12">
      <c r="B215" s="21"/>
      <c r="C215" s="21"/>
      <c r="H215" s="21"/>
      <c r="S215" s="129">
        <v>61</v>
      </c>
      <c r="T215" s="122">
        <f>INDEX(coa,INT((S215-1)/4)+1,2)</f>
        <v>0</v>
      </c>
      <c r="U215" s="225">
        <f>IF(T217=0,0,T215+0.01)</f>
        <v>0</v>
      </c>
      <c r="V215" s="210">
        <f>IF(T217=0,0,T216+0.01)</f>
        <v>0</v>
      </c>
      <c r="W215" s="229"/>
      <c r="X215" s="210"/>
      <c r="Y215" s="210">
        <f>INDEX(coag,INT((S215-1)/4)+1,1)</f>
        <v>0</v>
      </c>
      <c r="Z215" s="210">
        <f>IF(T217=0,0,Y215+0.01)</f>
        <v>0</v>
      </c>
      <c r="AA215" s="210">
        <f>IF(T217=0,0,Y216+0.01)</f>
        <v>0</v>
      </c>
      <c r="AC215" s="122"/>
      <c r="AD215" s="122"/>
      <c r="BE215" s="129"/>
      <c r="BF215" s="129"/>
    </row>
    <row r="216" spans="2:58" ht="12">
      <c r="B216" s="21"/>
      <c r="C216" s="21"/>
      <c r="H216" s="21"/>
      <c r="S216" s="129">
        <v>62</v>
      </c>
      <c r="T216" s="122">
        <f>INDEX(coa,INT((S215-1)/4)+1,3)</f>
        <v>0</v>
      </c>
      <c r="U216" s="225">
        <f>U215</f>
        <v>0</v>
      </c>
      <c r="V216" s="210">
        <f>IF(T217=0,0,T216-0.01)</f>
        <v>0</v>
      </c>
      <c r="W216" s="229"/>
      <c r="X216" s="210"/>
      <c r="Y216" s="210">
        <f>INDEX(coag,INT((S215-1)/4)+1,2)</f>
        <v>0</v>
      </c>
      <c r="Z216" s="210">
        <f>Z215</f>
        <v>0</v>
      </c>
      <c r="AA216" s="210">
        <f>IF(T217=0,0,Y216-0.01)</f>
        <v>0</v>
      </c>
      <c r="AC216" s="122"/>
      <c r="AD216" s="122"/>
      <c r="BE216" s="129"/>
      <c r="BF216" s="129"/>
    </row>
    <row r="217" spans="2:58" ht="12">
      <c r="B217" s="21"/>
      <c r="C217" s="21"/>
      <c r="H217" s="21"/>
      <c r="S217" s="129">
        <v>63</v>
      </c>
      <c r="T217" s="210">
        <f>INDEX(coa,INT((S215-1)/4)+1,1)/2000</f>
        <v>0</v>
      </c>
      <c r="U217" s="225">
        <f>IF(T217=0,0,T215-0.01)</f>
        <v>0</v>
      </c>
      <c r="V217" s="210">
        <f>V216</f>
        <v>0</v>
      </c>
      <c r="W217" s="229"/>
      <c r="X217" s="210"/>
      <c r="Y217" s="210">
        <f>T217</f>
        <v>0</v>
      </c>
      <c r="Z217" s="210">
        <f>IF(T217=0,0,Y215-0.01)</f>
        <v>0</v>
      </c>
      <c r="AA217" s="210">
        <f>AA216</f>
        <v>0</v>
      </c>
      <c r="AC217" s="122"/>
      <c r="AD217" s="122"/>
      <c r="BE217" s="129"/>
      <c r="BF217" s="129"/>
    </row>
    <row r="218" spans="2:58" ht="12">
      <c r="B218" s="21"/>
      <c r="C218" s="21"/>
      <c r="H218" s="21"/>
      <c r="S218" s="129">
        <v>64</v>
      </c>
      <c r="U218" s="225">
        <f>U217</f>
        <v>0</v>
      </c>
      <c r="V218" s="210">
        <f>V215</f>
        <v>0</v>
      </c>
      <c r="W218" s="229"/>
      <c r="X218" s="210"/>
      <c r="Y218" s="210"/>
      <c r="Z218" s="210">
        <f>Z217</f>
        <v>0</v>
      </c>
      <c r="AA218" s="210">
        <f>AA215</f>
        <v>0</v>
      </c>
      <c r="AC218" s="122"/>
      <c r="AD218" s="122"/>
      <c r="BE218" s="129"/>
      <c r="BF218" s="129"/>
    </row>
    <row r="219" spans="2:58" ht="12">
      <c r="B219" s="21"/>
      <c r="C219" s="21"/>
      <c r="H219" s="21"/>
      <c r="U219" s="225">
        <f>U215</f>
        <v>0</v>
      </c>
      <c r="V219" s="210">
        <f>V215</f>
        <v>0</v>
      </c>
      <c r="W219" s="229"/>
      <c r="X219" s="210"/>
      <c r="Y219" s="210"/>
      <c r="Z219" s="246">
        <f>Z215</f>
        <v>0</v>
      </c>
      <c r="AA219" s="246">
        <f>AA215</f>
        <v>0</v>
      </c>
      <c r="AC219" s="122"/>
      <c r="AD219" s="122"/>
      <c r="BE219" s="129"/>
      <c r="BF219" s="129"/>
    </row>
    <row r="220" spans="2:58" ht="12">
      <c r="B220" s="21"/>
      <c r="C220" s="21"/>
      <c r="H220" s="21"/>
      <c r="U220" s="225"/>
      <c r="V220" s="210"/>
      <c r="W220" s="229"/>
      <c r="X220" s="210"/>
      <c r="Y220" s="210"/>
      <c r="Z220" s="225"/>
      <c r="AA220" s="229"/>
      <c r="AC220" s="122"/>
      <c r="AD220" s="122"/>
      <c r="BE220" s="129"/>
      <c r="BF220" s="129"/>
    </row>
    <row r="221" spans="2:58" ht="12">
      <c r="B221" s="21"/>
      <c r="C221" s="21"/>
      <c r="H221" s="21"/>
      <c r="S221" s="129">
        <v>65</v>
      </c>
      <c r="T221" s="122">
        <f>INDEX(coa,INT((S221-1)/4)+1,2)</f>
        <v>0</v>
      </c>
      <c r="U221" s="225">
        <f>IF(T223=0,0,T221+0.01)</f>
        <v>0</v>
      </c>
      <c r="V221" s="210">
        <f>IF(T223=0,0,T222+0.01)</f>
        <v>0</v>
      </c>
      <c r="W221" s="229"/>
      <c r="X221" s="210"/>
      <c r="Y221" s="210">
        <f>INDEX(coag,INT((S221-1)/4)+1,1)</f>
        <v>0</v>
      </c>
      <c r="Z221" s="210">
        <f>IF(T223=0,0,Y221+0.01)</f>
        <v>0</v>
      </c>
      <c r="AA221" s="210">
        <f>IF(T223=0,0,Y222+0.01)</f>
        <v>0</v>
      </c>
      <c r="AC221" s="122"/>
      <c r="AD221" s="122"/>
      <c r="BE221" s="129"/>
      <c r="BF221" s="129"/>
    </row>
    <row r="222" spans="2:58" ht="12">
      <c r="B222" s="21"/>
      <c r="C222" s="21"/>
      <c r="H222" s="21"/>
      <c r="S222" s="129">
        <v>66</v>
      </c>
      <c r="T222" s="122">
        <f>INDEX(coa,INT((S221-1)/4)+1,3)</f>
        <v>0</v>
      </c>
      <c r="U222" s="225">
        <f>U221</f>
        <v>0</v>
      </c>
      <c r="V222" s="210">
        <f>IF(T223=0,0,T222-0.01)</f>
        <v>0</v>
      </c>
      <c r="W222" s="229"/>
      <c r="X222" s="210"/>
      <c r="Y222" s="210">
        <f>INDEX(coag,INT((S221-1)/4)+1,2)</f>
        <v>0</v>
      </c>
      <c r="Z222" s="210">
        <f>Z221</f>
        <v>0</v>
      </c>
      <c r="AA222" s="210">
        <f>IF(T223=0,0,Y222-0.01)</f>
        <v>0</v>
      </c>
      <c r="AC222" s="122"/>
      <c r="AD222" s="122"/>
      <c r="BE222" s="129"/>
      <c r="BF222" s="129"/>
    </row>
    <row r="223" spans="2:58" ht="12">
      <c r="B223" s="21"/>
      <c r="C223" s="21"/>
      <c r="H223" s="21"/>
      <c r="S223" s="129">
        <v>67</v>
      </c>
      <c r="T223" s="210">
        <f>INDEX(coa,INT((S221-1)/4)+1,1)/2000</f>
        <v>0</v>
      </c>
      <c r="U223" s="225">
        <f>IF(T223=0,0,T221-0.01)</f>
        <v>0</v>
      </c>
      <c r="V223" s="210">
        <f>V222</f>
        <v>0</v>
      </c>
      <c r="W223" s="229"/>
      <c r="X223" s="210"/>
      <c r="Y223" s="210">
        <f>T223</f>
        <v>0</v>
      </c>
      <c r="Z223" s="210">
        <f>IF(T223=0,0,Y221-0.01)</f>
        <v>0</v>
      </c>
      <c r="AA223" s="210">
        <f>AA222</f>
        <v>0</v>
      </c>
      <c r="AC223" s="122"/>
      <c r="AD223" s="122"/>
      <c r="BE223" s="129"/>
      <c r="BF223" s="129"/>
    </row>
    <row r="224" spans="2:58" ht="12">
      <c r="B224" s="21"/>
      <c r="C224" s="21"/>
      <c r="H224" s="21"/>
      <c r="S224" s="129">
        <v>68</v>
      </c>
      <c r="U224" s="225">
        <f>U223</f>
        <v>0</v>
      </c>
      <c r="V224" s="210">
        <f>V221</f>
        <v>0</v>
      </c>
      <c r="W224" s="229"/>
      <c r="X224" s="210"/>
      <c r="Y224" s="210"/>
      <c r="Z224" s="210">
        <f>Z223</f>
        <v>0</v>
      </c>
      <c r="AA224" s="210">
        <f>AA221</f>
        <v>0</v>
      </c>
      <c r="AC224" s="122"/>
      <c r="AD224" s="122"/>
      <c r="BE224" s="129"/>
      <c r="BF224" s="129"/>
    </row>
    <row r="225" spans="2:58" ht="12">
      <c r="B225" s="21"/>
      <c r="C225" s="21"/>
      <c r="H225" s="21"/>
      <c r="U225" s="225">
        <f>U221</f>
        <v>0</v>
      </c>
      <c r="V225" s="210">
        <f>V221</f>
        <v>0</v>
      </c>
      <c r="W225" s="229"/>
      <c r="X225" s="210"/>
      <c r="Y225" s="210"/>
      <c r="Z225" s="246">
        <f>Z221</f>
        <v>0</v>
      </c>
      <c r="AA225" s="246">
        <f>AA221</f>
        <v>0</v>
      </c>
      <c r="AC225" s="122"/>
      <c r="AD225" s="122"/>
      <c r="BE225" s="129"/>
      <c r="BF225" s="129"/>
    </row>
    <row r="226" spans="2:58" ht="12">
      <c r="B226" s="21"/>
      <c r="C226" s="21"/>
      <c r="H226" s="21"/>
      <c r="U226" s="225"/>
      <c r="V226" s="210"/>
      <c r="W226" s="229"/>
      <c r="X226" s="210"/>
      <c r="Y226" s="210"/>
      <c r="Z226" s="225"/>
      <c r="AA226" s="229"/>
      <c r="AC226" s="122"/>
      <c r="AD226" s="122"/>
      <c r="BE226" s="129"/>
      <c r="BF226" s="129"/>
    </row>
    <row r="227" spans="2:58" ht="12">
      <c r="B227" s="21"/>
      <c r="C227" s="21"/>
      <c r="H227" s="21"/>
      <c r="S227" s="129">
        <v>69</v>
      </c>
      <c r="T227" s="122">
        <f>INDEX(coa,INT((S227-1)/4)+1,2)</f>
        <v>0</v>
      </c>
      <c r="U227" s="225">
        <f>IF(T229=0,0,T227+0.01)</f>
        <v>0</v>
      </c>
      <c r="V227" s="210">
        <f>IF(T229=0,0,T228+0.01)</f>
        <v>0</v>
      </c>
      <c r="W227" s="229"/>
      <c r="X227" s="210"/>
      <c r="Y227" s="210">
        <f>INDEX(coag,INT((S227-1)/4)+1,1)</f>
        <v>0</v>
      </c>
      <c r="Z227" s="210">
        <f>IF(T229=0,0,Y227+0.01)</f>
        <v>0</v>
      </c>
      <c r="AA227" s="210">
        <f>IF(T229=0,0,Y228+0.01)</f>
        <v>0</v>
      </c>
      <c r="AC227" s="122"/>
      <c r="AD227" s="122"/>
      <c r="BE227" s="129"/>
      <c r="BF227" s="129"/>
    </row>
    <row r="228" spans="2:58" ht="12">
      <c r="B228" s="21"/>
      <c r="C228" s="21"/>
      <c r="H228" s="21"/>
      <c r="S228" s="129">
        <v>70</v>
      </c>
      <c r="T228" s="122">
        <f>INDEX(coa,INT((S227-1)/4)+1,3)</f>
        <v>0</v>
      </c>
      <c r="U228" s="225">
        <f>U227</f>
        <v>0</v>
      </c>
      <c r="V228" s="210">
        <f>IF(T229=0,0,T228-0.01)</f>
        <v>0</v>
      </c>
      <c r="W228" s="229"/>
      <c r="X228" s="210"/>
      <c r="Y228" s="210">
        <f>INDEX(coag,INT((S227-1)/4)+1,2)</f>
        <v>0</v>
      </c>
      <c r="Z228" s="210">
        <f>Z227</f>
        <v>0</v>
      </c>
      <c r="AA228" s="210">
        <f>IF(T229=0,0,Y228-0.01)</f>
        <v>0</v>
      </c>
      <c r="AC228" s="122"/>
      <c r="AD228" s="122"/>
      <c r="BE228" s="129"/>
      <c r="BF228" s="129"/>
    </row>
    <row r="229" spans="2:58" ht="12">
      <c r="B229" s="21"/>
      <c r="C229" s="21"/>
      <c r="H229" s="21"/>
      <c r="S229" s="129">
        <v>71</v>
      </c>
      <c r="T229" s="210">
        <f>INDEX(coa,INT((S227-1)/4)+1,1)/2000</f>
        <v>0</v>
      </c>
      <c r="U229" s="225">
        <f>IF(T229=0,0,T227-0.01)</f>
        <v>0</v>
      </c>
      <c r="V229" s="210">
        <f>V228</f>
        <v>0</v>
      </c>
      <c r="W229" s="229"/>
      <c r="X229" s="210"/>
      <c r="Y229" s="210">
        <f>T229</f>
        <v>0</v>
      </c>
      <c r="Z229" s="210">
        <f>IF(T229=0,0,Y227-0.01)</f>
        <v>0</v>
      </c>
      <c r="AA229" s="210">
        <f>AA228</f>
        <v>0</v>
      </c>
      <c r="AC229" s="122"/>
      <c r="AD229" s="122"/>
      <c r="BE229" s="129"/>
      <c r="BF229" s="129"/>
    </row>
    <row r="230" spans="2:58" ht="12">
      <c r="B230" s="21"/>
      <c r="C230" s="21"/>
      <c r="H230" s="21"/>
      <c r="S230" s="129">
        <v>72</v>
      </c>
      <c r="U230" s="225">
        <f>U229</f>
        <v>0</v>
      </c>
      <c r="V230" s="210">
        <f>V227</f>
        <v>0</v>
      </c>
      <c r="W230" s="229"/>
      <c r="X230" s="210"/>
      <c r="Y230" s="210"/>
      <c r="Z230" s="210">
        <f>Z229</f>
        <v>0</v>
      </c>
      <c r="AA230" s="210">
        <f>AA227</f>
        <v>0</v>
      </c>
      <c r="AC230" s="122"/>
      <c r="AD230" s="122"/>
      <c r="BE230" s="129"/>
      <c r="BF230" s="129"/>
    </row>
    <row r="231" spans="2:58" ht="12">
      <c r="B231" s="21"/>
      <c r="C231" s="21"/>
      <c r="H231" s="21"/>
      <c r="U231" s="225">
        <f>U227</f>
        <v>0</v>
      </c>
      <c r="V231" s="210">
        <f>V227</f>
        <v>0</v>
      </c>
      <c r="W231" s="229"/>
      <c r="X231" s="210"/>
      <c r="Y231" s="210"/>
      <c r="Z231" s="246">
        <f>Z227</f>
        <v>0</v>
      </c>
      <c r="AA231" s="246">
        <f>AA227</f>
        <v>0</v>
      </c>
      <c r="AC231" s="122"/>
      <c r="AD231" s="122"/>
      <c r="BE231" s="129"/>
      <c r="BF231" s="129"/>
    </row>
    <row r="232" spans="2:58" ht="12">
      <c r="B232" s="21"/>
      <c r="C232" s="21"/>
      <c r="H232" s="21"/>
      <c r="U232" s="225"/>
      <c r="V232" s="210"/>
      <c r="W232" s="229"/>
      <c r="X232" s="210"/>
      <c r="Y232" s="210"/>
      <c r="Z232" s="225"/>
      <c r="AA232" s="229"/>
      <c r="AC232" s="122"/>
      <c r="AD232" s="122"/>
      <c r="BE232" s="129"/>
      <c r="BF232" s="129"/>
    </row>
    <row r="233" spans="2:58" ht="12">
      <c r="B233" s="21"/>
      <c r="C233" s="21"/>
      <c r="H233" s="21"/>
      <c r="S233" s="129">
        <v>73</v>
      </c>
      <c r="T233" s="122">
        <f>INDEX(coa,INT((S233-1)/4)+1,2)</f>
        <v>0</v>
      </c>
      <c r="U233" s="225">
        <f>IF(T235=0,0,T233+0.01)</f>
        <v>0</v>
      </c>
      <c r="V233" s="210">
        <f>IF(T235=0,0,T234+0.01)</f>
        <v>0</v>
      </c>
      <c r="W233" s="229"/>
      <c r="X233" s="210"/>
      <c r="Y233" s="210">
        <f>INDEX(coag,INT((S233-1)/4)+1,1)</f>
        <v>0</v>
      </c>
      <c r="Z233" s="210">
        <f>IF(T235=0,0,Y233+0.01)</f>
        <v>0</v>
      </c>
      <c r="AA233" s="210">
        <f>IF(T235=0,0,Y234+0.01)</f>
        <v>0</v>
      </c>
      <c r="AC233" s="122"/>
      <c r="AD233" s="122"/>
      <c r="BE233" s="129"/>
      <c r="BF233" s="129"/>
    </row>
    <row r="234" spans="2:58" ht="12">
      <c r="B234" s="21"/>
      <c r="C234" s="21"/>
      <c r="H234" s="21"/>
      <c r="S234" s="129">
        <v>74</v>
      </c>
      <c r="T234" s="122">
        <f>INDEX(coa,INT((S233-1)/4)+1,3)</f>
        <v>0</v>
      </c>
      <c r="U234" s="225">
        <f>U233</f>
        <v>0</v>
      </c>
      <c r="V234" s="210">
        <f>IF(T235=0,0,T234-0.01)</f>
        <v>0</v>
      </c>
      <c r="W234" s="229"/>
      <c r="X234" s="210"/>
      <c r="Y234" s="210">
        <f>INDEX(coag,INT((S233-1)/4)+1,2)</f>
        <v>0</v>
      </c>
      <c r="Z234" s="210">
        <f>Z233</f>
        <v>0</v>
      </c>
      <c r="AA234" s="210">
        <f>IF(T235=0,0,Y234-0.01)</f>
        <v>0</v>
      </c>
      <c r="AC234" s="122"/>
      <c r="AD234" s="122"/>
      <c r="BE234" s="129"/>
      <c r="BF234" s="129"/>
    </row>
    <row r="235" spans="2:58" ht="12">
      <c r="B235" s="21"/>
      <c r="C235" s="21"/>
      <c r="H235" s="21"/>
      <c r="S235" s="129">
        <v>75</v>
      </c>
      <c r="T235" s="210">
        <f>INDEX(coa,INT((S233-1)/4)+1,1)/2000</f>
        <v>0</v>
      </c>
      <c r="U235" s="225">
        <f>IF(T235=0,0,T233-0.01)</f>
        <v>0</v>
      </c>
      <c r="V235" s="210">
        <f>V234</f>
        <v>0</v>
      </c>
      <c r="W235" s="229"/>
      <c r="X235" s="210"/>
      <c r="Y235" s="210">
        <f>T235</f>
        <v>0</v>
      </c>
      <c r="Z235" s="210">
        <f>IF(T235=0,0,Y233-0.01)</f>
        <v>0</v>
      </c>
      <c r="AA235" s="210">
        <f>AA234</f>
        <v>0</v>
      </c>
      <c r="AC235" s="122"/>
      <c r="AD235" s="122"/>
      <c r="BE235" s="129"/>
      <c r="BF235" s="129"/>
    </row>
    <row r="236" spans="2:58" ht="12">
      <c r="B236" s="21"/>
      <c r="C236" s="21"/>
      <c r="H236" s="21"/>
      <c r="S236" s="129">
        <v>76</v>
      </c>
      <c r="U236" s="225">
        <f>U235</f>
        <v>0</v>
      </c>
      <c r="V236" s="210">
        <f>V233</f>
        <v>0</v>
      </c>
      <c r="W236" s="229"/>
      <c r="X236" s="210"/>
      <c r="Y236" s="210"/>
      <c r="Z236" s="210">
        <f>Z235</f>
        <v>0</v>
      </c>
      <c r="AA236" s="210">
        <f>AA233</f>
        <v>0</v>
      </c>
      <c r="AC236" s="122"/>
      <c r="AD236" s="122"/>
      <c r="BE236" s="129"/>
      <c r="BF236" s="129"/>
    </row>
    <row r="237" spans="2:58" ht="12">
      <c r="B237" s="21"/>
      <c r="C237" s="21"/>
      <c r="H237" s="21"/>
      <c r="U237" s="225">
        <f>U233</f>
        <v>0</v>
      </c>
      <c r="V237" s="210">
        <f>V233</f>
        <v>0</v>
      </c>
      <c r="W237" s="229"/>
      <c r="X237" s="210"/>
      <c r="Y237" s="210"/>
      <c r="Z237" s="246">
        <f>Z233</f>
        <v>0</v>
      </c>
      <c r="AA237" s="246">
        <f>AA233</f>
        <v>0</v>
      </c>
      <c r="AC237" s="122"/>
      <c r="AD237" s="122"/>
      <c r="BE237" s="129"/>
      <c r="BF237" s="129"/>
    </row>
    <row r="238" spans="2:58" ht="12">
      <c r="B238" s="21"/>
      <c r="C238" s="21"/>
      <c r="H238" s="21"/>
      <c r="U238" s="225"/>
      <c r="V238" s="210"/>
      <c r="W238" s="229"/>
      <c r="X238" s="210"/>
      <c r="Y238" s="210"/>
      <c r="Z238" s="225"/>
      <c r="AA238" s="229"/>
      <c r="AC238" s="122"/>
      <c r="AD238" s="122"/>
      <c r="BE238" s="129"/>
      <c r="BF238" s="129"/>
    </row>
    <row r="239" spans="2:58" ht="12">
      <c r="B239" s="21"/>
      <c r="C239" s="21"/>
      <c r="H239" s="21"/>
      <c r="S239" s="129">
        <v>77</v>
      </c>
      <c r="T239" s="122">
        <f>INDEX(coa,INT((S239-1)/4)+1,2)</f>
        <v>0</v>
      </c>
      <c r="U239" s="225">
        <f>IF(T241=0,0,T239+0.01)</f>
        <v>0</v>
      </c>
      <c r="V239" s="210">
        <f>IF(T241=0,0,T240+0.01)</f>
        <v>0</v>
      </c>
      <c r="W239" s="229"/>
      <c r="X239" s="210"/>
      <c r="Y239" s="210">
        <f>INDEX(coag,INT((S239-1)/4)+1,1)</f>
        <v>0</v>
      </c>
      <c r="Z239" s="210">
        <f>IF(T241=0,0,Y239+0.01)</f>
        <v>0</v>
      </c>
      <c r="AA239" s="210">
        <f>IF(T241=0,0,Y240+0.01)</f>
        <v>0</v>
      </c>
      <c r="AC239" s="122"/>
      <c r="AD239" s="122"/>
      <c r="BE239" s="129"/>
      <c r="BF239" s="129"/>
    </row>
    <row r="240" spans="2:58" ht="12">
      <c r="B240" s="21"/>
      <c r="C240" s="21"/>
      <c r="H240" s="21"/>
      <c r="S240" s="129">
        <v>78</v>
      </c>
      <c r="T240" s="122">
        <f>INDEX(coa,INT((S239-1)/4)+1,3)</f>
        <v>0</v>
      </c>
      <c r="U240" s="225">
        <f>U239</f>
        <v>0</v>
      </c>
      <c r="V240" s="210">
        <f>IF(T241=0,0,T240-0.01)</f>
        <v>0</v>
      </c>
      <c r="W240" s="229"/>
      <c r="X240" s="210"/>
      <c r="Y240" s="210">
        <f>INDEX(coag,INT((S239-1)/4)+1,2)</f>
        <v>0</v>
      </c>
      <c r="Z240" s="210">
        <f>Z239</f>
        <v>0</v>
      </c>
      <c r="AA240" s="210">
        <f>IF(T241=0,0,Y240-0.01)</f>
        <v>0</v>
      </c>
      <c r="AC240" s="122"/>
      <c r="AD240" s="122"/>
      <c r="BE240" s="129"/>
      <c r="BF240" s="129"/>
    </row>
    <row r="241" spans="2:58" ht="12">
      <c r="B241" s="21"/>
      <c r="C241" s="21"/>
      <c r="H241" s="21"/>
      <c r="S241" s="129">
        <v>79</v>
      </c>
      <c r="T241" s="210">
        <f>INDEX(coa,INT((S239-1)/4)+1,1)/2000</f>
        <v>0</v>
      </c>
      <c r="U241" s="225">
        <f>IF(T241=0,0,T239-0.01)</f>
        <v>0</v>
      </c>
      <c r="V241" s="210">
        <f>V240</f>
        <v>0</v>
      </c>
      <c r="W241" s="229"/>
      <c r="X241" s="210"/>
      <c r="Y241" s="210">
        <f>T241</f>
        <v>0</v>
      </c>
      <c r="Z241" s="210">
        <f>IF(T241=0,0,Y239-0.01)</f>
        <v>0</v>
      </c>
      <c r="AA241" s="210">
        <f>AA240</f>
        <v>0</v>
      </c>
      <c r="AC241" s="122"/>
      <c r="AD241" s="122"/>
      <c r="BE241" s="129"/>
      <c r="BF241" s="129"/>
    </row>
    <row r="242" spans="2:58" ht="12">
      <c r="B242" s="21"/>
      <c r="C242" s="21"/>
      <c r="H242" s="21"/>
      <c r="S242" s="129">
        <v>80</v>
      </c>
      <c r="U242" s="225">
        <f>U241</f>
        <v>0</v>
      </c>
      <c r="V242" s="210">
        <f>V239</f>
        <v>0</v>
      </c>
      <c r="W242" s="229"/>
      <c r="X242" s="210"/>
      <c r="Y242" s="210"/>
      <c r="Z242" s="210">
        <f>Z241</f>
        <v>0</v>
      </c>
      <c r="AA242" s="210">
        <f>AA239</f>
        <v>0</v>
      </c>
      <c r="AC242" s="122"/>
      <c r="AD242" s="122"/>
      <c r="BE242" s="129"/>
      <c r="BF242" s="129"/>
    </row>
    <row r="243" spans="2:58" ht="12">
      <c r="B243" s="21"/>
      <c r="C243" s="21"/>
      <c r="H243" s="21"/>
      <c r="U243" s="225">
        <f>U239</f>
        <v>0</v>
      </c>
      <c r="V243" s="210">
        <f>V239</f>
        <v>0</v>
      </c>
      <c r="W243" s="229"/>
      <c r="X243" s="210"/>
      <c r="Y243" s="210"/>
      <c r="Z243" s="246">
        <f>Z239</f>
        <v>0</v>
      </c>
      <c r="AA243" s="246">
        <f>AA239</f>
        <v>0</v>
      </c>
      <c r="AC243" s="122"/>
      <c r="AD243" s="122"/>
      <c r="BE243" s="129"/>
      <c r="BF243" s="129"/>
    </row>
    <row r="244" spans="2:58" ht="12">
      <c r="B244" s="21"/>
      <c r="C244" s="21"/>
      <c r="H244" s="21"/>
      <c r="U244" s="225"/>
      <c r="V244" s="210"/>
      <c r="W244" s="229"/>
      <c r="X244" s="210"/>
      <c r="Y244" s="210"/>
      <c r="Z244" s="225"/>
      <c r="AA244" s="229"/>
      <c r="AC244" s="122"/>
      <c r="AD244" s="122"/>
      <c r="BE244" s="129"/>
      <c r="BF244" s="129"/>
    </row>
    <row r="245" spans="2:58" ht="12">
      <c r="B245" s="21"/>
      <c r="C245" s="21"/>
      <c r="H245" s="21"/>
      <c r="S245" s="129">
        <v>81</v>
      </c>
      <c r="T245" s="122">
        <f>INDEX(coa,INT((S245-1)/4)+1,2)</f>
        <v>0</v>
      </c>
      <c r="U245" s="225">
        <f>IF(T247=0,0,T245+0.01)</f>
        <v>0</v>
      </c>
      <c r="V245" s="210">
        <f>IF(T247=0,0,T246+0.01)</f>
        <v>0</v>
      </c>
      <c r="W245" s="229"/>
      <c r="X245" s="210"/>
      <c r="Y245" s="210">
        <f>INDEX(coag,INT((S245-1)/4)+1,1)</f>
        <v>0</v>
      </c>
      <c r="Z245" s="210">
        <f>IF(T247=0,0,Y245+0.01)</f>
        <v>0</v>
      </c>
      <c r="AA245" s="210">
        <f>IF(T247=0,0,Y246+0.01)</f>
        <v>0</v>
      </c>
      <c r="AC245" s="122"/>
      <c r="AD245" s="122"/>
      <c r="BE245" s="129"/>
      <c r="BF245" s="129"/>
    </row>
    <row r="246" spans="2:58" ht="12">
      <c r="B246" s="21"/>
      <c r="C246" s="21"/>
      <c r="H246" s="21"/>
      <c r="S246" s="129">
        <v>82</v>
      </c>
      <c r="T246" s="122">
        <f>INDEX(coa,INT((S245-1)/4)+1,3)</f>
        <v>0</v>
      </c>
      <c r="U246" s="225">
        <f>U245</f>
        <v>0</v>
      </c>
      <c r="V246" s="210">
        <f>IF(T247=0,0,T246-0.01)</f>
        <v>0</v>
      </c>
      <c r="W246" s="229"/>
      <c r="X246" s="210"/>
      <c r="Y246" s="210">
        <f>INDEX(coag,INT((S245-1)/4)+1,2)</f>
        <v>0</v>
      </c>
      <c r="Z246" s="210">
        <f>Z245</f>
        <v>0</v>
      </c>
      <c r="AA246" s="210">
        <f>IF(T247=0,0,Y246-0.01)</f>
        <v>0</v>
      </c>
      <c r="AC246" s="122"/>
      <c r="AD246" s="122"/>
      <c r="BE246" s="129"/>
      <c r="BF246" s="129"/>
    </row>
    <row r="247" spans="2:58" ht="12">
      <c r="B247" s="21"/>
      <c r="C247" s="21"/>
      <c r="H247" s="21"/>
      <c r="S247" s="129">
        <v>83</v>
      </c>
      <c r="T247" s="210">
        <f>INDEX(coa,INT((S245-1)/4)+1,1)/2000</f>
        <v>0</v>
      </c>
      <c r="U247" s="225">
        <f>IF(T247=0,0,T245-0.01)</f>
        <v>0</v>
      </c>
      <c r="V247" s="210">
        <f>V246</f>
        <v>0</v>
      </c>
      <c r="W247" s="229"/>
      <c r="X247" s="210"/>
      <c r="Y247" s="210">
        <f>T247</f>
        <v>0</v>
      </c>
      <c r="Z247" s="210">
        <f>IF(T247=0,0,Y245-0.01)</f>
        <v>0</v>
      </c>
      <c r="AA247" s="210">
        <f>AA246</f>
        <v>0</v>
      </c>
      <c r="AC247" s="122"/>
      <c r="AD247" s="122"/>
      <c r="BE247" s="129"/>
      <c r="BF247" s="129"/>
    </row>
    <row r="248" spans="2:58" ht="12">
      <c r="B248" s="21"/>
      <c r="C248" s="21"/>
      <c r="H248" s="21"/>
      <c r="S248" s="129">
        <v>84</v>
      </c>
      <c r="U248" s="225">
        <f>U247</f>
        <v>0</v>
      </c>
      <c r="V248" s="210">
        <f>V245</f>
        <v>0</v>
      </c>
      <c r="W248" s="229"/>
      <c r="X248" s="210"/>
      <c r="Y248" s="210"/>
      <c r="Z248" s="210">
        <f>Z247</f>
        <v>0</v>
      </c>
      <c r="AA248" s="210">
        <f>AA245</f>
        <v>0</v>
      </c>
      <c r="AC248" s="122"/>
      <c r="AD248" s="122"/>
      <c r="BE248" s="129"/>
      <c r="BF248" s="129"/>
    </row>
    <row r="249" spans="2:58" ht="12">
      <c r="B249" s="21"/>
      <c r="C249" s="21"/>
      <c r="H249" s="21"/>
      <c r="U249" s="225">
        <f>U245</f>
        <v>0</v>
      </c>
      <c r="V249" s="210">
        <f>V245</f>
        <v>0</v>
      </c>
      <c r="W249" s="229"/>
      <c r="X249" s="210"/>
      <c r="Y249" s="210"/>
      <c r="Z249" s="246">
        <f>Z245</f>
        <v>0</v>
      </c>
      <c r="AA249" s="246">
        <f>AA245</f>
        <v>0</v>
      </c>
      <c r="AC249" s="122"/>
      <c r="AD249" s="122"/>
      <c r="BE249" s="129"/>
      <c r="BF249" s="129"/>
    </row>
    <row r="250" spans="2:58" ht="12">
      <c r="B250" s="21"/>
      <c r="C250" s="21"/>
      <c r="H250" s="21"/>
      <c r="U250" s="225"/>
      <c r="V250" s="210"/>
      <c r="W250" s="229"/>
      <c r="X250" s="210"/>
      <c r="Y250" s="210"/>
      <c r="Z250" s="225"/>
      <c r="AA250" s="229"/>
      <c r="AC250" s="122"/>
      <c r="AD250" s="122"/>
      <c r="BE250" s="129"/>
      <c r="BF250" s="129"/>
    </row>
    <row r="251" spans="2:58" ht="12">
      <c r="B251" s="21"/>
      <c r="C251" s="21"/>
      <c r="H251" s="21"/>
      <c r="S251" s="129">
        <v>85</v>
      </c>
      <c r="T251" s="122">
        <f>INDEX(coa,INT((S251-1)/4)+1,2)</f>
        <v>0</v>
      </c>
      <c r="U251" s="225">
        <f>IF(T253=0,0,T251+0.01)</f>
        <v>0</v>
      </c>
      <c r="V251" s="210">
        <f>IF(T253=0,0,T252+0.01)</f>
        <v>0</v>
      </c>
      <c r="W251" s="229"/>
      <c r="X251" s="210"/>
      <c r="Y251" s="210">
        <f>INDEX(coag,INT((S251-1)/4)+1,1)</f>
        <v>0</v>
      </c>
      <c r="Z251" s="210">
        <f>IF(T253=0,0,Y251+0.01)</f>
        <v>0</v>
      </c>
      <c r="AA251" s="210">
        <f>IF(T253=0,0,Y252+0.01)</f>
        <v>0</v>
      </c>
      <c r="AC251" s="122"/>
      <c r="AD251" s="122"/>
      <c r="BE251" s="129"/>
      <c r="BF251" s="129"/>
    </row>
    <row r="252" spans="2:58" ht="12">
      <c r="B252" s="21"/>
      <c r="C252" s="21"/>
      <c r="H252" s="21"/>
      <c r="S252" s="129">
        <v>86</v>
      </c>
      <c r="T252" s="122">
        <f>INDEX(coa,INT((S251-1)/4)+1,3)</f>
        <v>0</v>
      </c>
      <c r="U252" s="225">
        <f>U251</f>
        <v>0</v>
      </c>
      <c r="V252" s="210">
        <f>IF(T253=0,0,T252-0.01)</f>
        <v>0</v>
      </c>
      <c r="W252" s="229"/>
      <c r="X252" s="210"/>
      <c r="Y252" s="210">
        <f>INDEX(coag,INT((S251-1)/4)+1,2)</f>
        <v>0</v>
      </c>
      <c r="Z252" s="210">
        <f>Z251</f>
        <v>0</v>
      </c>
      <c r="AA252" s="210">
        <f>IF(T253=0,0,Y252-0.01)</f>
        <v>0</v>
      </c>
      <c r="AC252" s="122"/>
      <c r="AD252" s="122"/>
      <c r="BE252" s="129"/>
      <c r="BF252" s="129"/>
    </row>
    <row r="253" spans="2:58" ht="12">
      <c r="B253" s="21"/>
      <c r="C253" s="21"/>
      <c r="H253" s="21"/>
      <c r="S253" s="129">
        <v>87</v>
      </c>
      <c r="T253" s="210">
        <f>INDEX(coa,INT((S251-1)/4)+1,1)/2000</f>
        <v>0</v>
      </c>
      <c r="U253" s="225">
        <f>IF(T253=0,0,T251-0.01)</f>
        <v>0</v>
      </c>
      <c r="V253" s="210">
        <f>V252</f>
        <v>0</v>
      </c>
      <c r="W253" s="229"/>
      <c r="X253" s="210"/>
      <c r="Y253" s="210">
        <f>T253</f>
        <v>0</v>
      </c>
      <c r="Z253" s="210">
        <f>IF(T253=0,0,Y251-0.01)</f>
        <v>0</v>
      </c>
      <c r="AA253" s="210">
        <f>AA252</f>
        <v>0</v>
      </c>
      <c r="AC253" s="122"/>
      <c r="AD253" s="122"/>
      <c r="BE253" s="129"/>
      <c r="BF253" s="129"/>
    </row>
    <row r="254" spans="2:58" ht="12">
      <c r="B254" s="21"/>
      <c r="C254" s="21"/>
      <c r="H254" s="21"/>
      <c r="S254" s="129">
        <v>88</v>
      </c>
      <c r="U254" s="225">
        <f>U253</f>
        <v>0</v>
      </c>
      <c r="V254" s="210">
        <f>V251</f>
        <v>0</v>
      </c>
      <c r="W254" s="229"/>
      <c r="X254" s="210"/>
      <c r="Y254" s="210"/>
      <c r="Z254" s="210">
        <f>Z253</f>
        <v>0</v>
      </c>
      <c r="AA254" s="210">
        <f>AA251</f>
        <v>0</v>
      </c>
      <c r="AC254" s="122"/>
      <c r="AD254" s="122"/>
      <c r="BE254" s="129"/>
      <c r="BF254" s="129"/>
    </row>
    <row r="255" spans="2:58" ht="12">
      <c r="B255" s="21"/>
      <c r="C255" s="21"/>
      <c r="H255" s="21"/>
      <c r="U255" s="225">
        <f>U251</f>
        <v>0</v>
      </c>
      <c r="V255" s="210">
        <f>V251</f>
        <v>0</v>
      </c>
      <c r="W255" s="229"/>
      <c r="X255" s="210"/>
      <c r="Y255" s="210"/>
      <c r="Z255" s="246">
        <f>Z251</f>
        <v>0</v>
      </c>
      <c r="AA255" s="246">
        <f>AA251</f>
        <v>0</v>
      </c>
      <c r="AC255" s="122"/>
      <c r="AD255" s="122"/>
      <c r="BE255" s="129"/>
      <c r="BF255" s="129"/>
    </row>
    <row r="256" spans="2:58" ht="12">
      <c r="B256" s="21"/>
      <c r="C256" s="21"/>
      <c r="H256" s="21"/>
      <c r="U256" s="225"/>
      <c r="V256" s="210"/>
      <c r="W256" s="229"/>
      <c r="X256" s="210"/>
      <c r="Y256" s="210"/>
      <c r="Z256" s="225"/>
      <c r="AA256" s="229"/>
      <c r="AC256" s="122"/>
      <c r="AD256" s="122"/>
      <c r="BE256" s="129"/>
      <c r="BF256" s="129"/>
    </row>
    <row r="257" spans="2:58" ht="12">
      <c r="B257" s="21"/>
      <c r="C257" s="21"/>
      <c r="H257" s="21"/>
      <c r="S257" s="129">
        <v>89</v>
      </c>
      <c r="T257" s="122">
        <f>INDEX(coa,INT((S257-1)/4)+1,2)</f>
        <v>0</v>
      </c>
      <c r="U257" s="225">
        <f>IF(T259=0,0,T257+0.01)</f>
        <v>0</v>
      </c>
      <c r="V257" s="210">
        <f>IF(T259=0,0,T258+0.01)</f>
        <v>0</v>
      </c>
      <c r="W257" s="229"/>
      <c r="X257" s="210"/>
      <c r="Y257" s="210">
        <f>INDEX(coag,INT((S257-1)/4)+1,1)</f>
        <v>0</v>
      </c>
      <c r="Z257" s="210">
        <f>IF(T259=0,0,Y257+0.01)</f>
        <v>0</v>
      </c>
      <c r="AA257" s="210">
        <f>IF(T259=0,0,Y258+0.01)</f>
        <v>0</v>
      </c>
      <c r="AC257" s="122"/>
      <c r="AD257" s="122"/>
      <c r="BE257" s="129"/>
      <c r="BF257" s="129"/>
    </row>
    <row r="258" spans="2:58" ht="12">
      <c r="B258" s="21"/>
      <c r="C258" s="21"/>
      <c r="H258" s="21"/>
      <c r="S258" s="129">
        <v>90</v>
      </c>
      <c r="T258" s="122">
        <f>INDEX(coa,INT((S257-1)/4)+1,3)</f>
        <v>0</v>
      </c>
      <c r="U258" s="225">
        <f>U257</f>
        <v>0</v>
      </c>
      <c r="V258" s="210">
        <f>IF(T259=0,0,T258-0.01)</f>
        <v>0</v>
      </c>
      <c r="W258" s="229"/>
      <c r="X258" s="210"/>
      <c r="Y258" s="210">
        <f>INDEX(coag,INT((S257-1)/4)+1,2)</f>
        <v>0</v>
      </c>
      <c r="Z258" s="210">
        <f>Z257</f>
        <v>0</v>
      </c>
      <c r="AA258" s="210">
        <f>IF(T259=0,0,Y258-0.01)</f>
        <v>0</v>
      </c>
      <c r="AC258" s="122"/>
      <c r="AD258" s="122"/>
      <c r="BE258" s="129"/>
      <c r="BF258" s="129"/>
    </row>
    <row r="259" spans="2:58" ht="12">
      <c r="B259" s="21"/>
      <c r="C259" s="21"/>
      <c r="H259" s="21"/>
      <c r="S259" s="129">
        <v>91</v>
      </c>
      <c r="T259" s="210">
        <f>INDEX(coa,INT((S257-1)/4)+1,1)/2000</f>
        <v>0</v>
      </c>
      <c r="U259" s="225">
        <f>IF(T259=0,0,T257-0.01)</f>
        <v>0</v>
      </c>
      <c r="V259" s="210">
        <f>V258</f>
        <v>0</v>
      </c>
      <c r="W259" s="229"/>
      <c r="X259" s="210"/>
      <c r="Y259" s="210">
        <f>T259</f>
        <v>0</v>
      </c>
      <c r="Z259" s="210">
        <f>IF(T259=0,0,Y257-0.01)</f>
        <v>0</v>
      </c>
      <c r="AA259" s="210">
        <f>AA258</f>
        <v>0</v>
      </c>
      <c r="AC259" s="122"/>
      <c r="AD259" s="122"/>
      <c r="BE259" s="129"/>
      <c r="BF259" s="129"/>
    </row>
    <row r="260" spans="2:58" ht="12">
      <c r="B260" s="21"/>
      <c r="C260" s="21"/>
      <c r="H260" s="21"/>
      <c r="S260" s="129">
        <v>92</v>
      </c>
      <c r="U260" s="225">
        <f>U259</f>
        <v>0</v>
      </c>
      <c r="V260" s="210">
        <f>V257</f>
        <v>0</v>
      </c>
      <c r="W260" s="229"/>
      <c r="X260" s="210"/>
      <c r="Y260" s="210"/>
      <c r="Z260" s="210">
        <f>Z259</f>
        <v>0</v>
      </c>
      <c r="AA260" s="210">
        <f>AA257</f>
        <v>0</v>
      </c>
      <c r="AC260" s="122"/>
      <c r="AD260" s="122"/>
      <c r="BE260" s="129"/>
      <c r="BF260" s="129"/>
    </row>
    <row r="261" spans="2:58" ht="12">
      <c r="B261" s="21"/>
      <c r="C261" s="21"/>
      <c r="H261" s="21"/>
      <c r="U261" s="225">
        <f>U257</f>
        <v>0</v>
      </c>
      <c r="V261" s="210">
        <f>V257</f>
        <v>0</v>
      </c>
      <c r="W261" s="229"/>
      <c r="X261" s="210"/>
      <c r="Y261" s="210"/>
      <c r="Z261" s="246">
        <f>Z257</f>
        <v>0</v>
      </c>
      <c r="AA261" s="246">
        <f>AA257</f>
        <v>0</v>
      </c>
      <c r="AC261" s="122"/>
      <c r="AD261" s="122"/>
      <c r="BE261" s="129"/>
      <c r="BF261" s="129"/>
    </row>
    <row r="262" spans="2:58" ht="12">
      <c r="B262" s="21"/>
      <c r="C262" s="21"/>
      <c r="H262" s="21"/>
      <c r="U262" s="225"/>
      <c r="V262" s="210"/>
      <c r="W262" s="229"/>
      <c r="X262" s="210"/>
      <c r="Z262" s="225"/>
      <c r="AA262" s="229"/>
      <c r="AC262" s="122"/>
      <c r="AD262" s="122"/>
      <c r="BE262" s="129"/>
      <c r="BF262" s="129"/>
    </row>
    <row r="263" spans="2:58" ht="12">
      <c r="B263" s="21"/>
      <c r="C263" s="21"/>
      <c r="H263" s="21"/>
      <c r="S263" s="129">
        <v>93</v>
      </c>
      <c r="T263" s="122">
        <f>INDEX(coa,INT((S263-1)/4)+1,2)</f>
        <v>0</v>
      </c>
      <c r="U263" s="225">
        <f>IF(T265=0,0,T263+0.01)</f>
        <v>0</v>
      </c>
      <c r="V263" s="210">
        <f>IF(T265=0,0,T264+0.01)</f>
        <v>0</v>
      </c>
      <c r="W263" s="229"/>
      <c r="X263" s="210"/>
      <c r="Y263" s="210">
        <f>INDEX(coag,INT((S263-1)/4)+1,1)</f>
        <v>0</v>
      </c>
      <c r="Z263" s="210">
        <f>IF(T265=0,0,Y263+0.01)</f>
        <v>0</v>
      </c>
      <c r="AA263" s="210">
        <f>IF(T265=0,0,Y264+0.01)</f>
        <v>0</v>
      </c>
      <c r="AC263" s="122"/>
      <c r="AD263" s="122"/>
      <c r="BE263" s="129"/>
      <c r="BF263" s="129"/>
    </row>
    <row r="264" spans="2:58" ht="12">
      <c r="B264" s="21"/>
      <c r="C264" s="21"/>
      <c r="H264" s="21"/>
      <c r="S264" s="129">
        <v>94</v>
      </c>
      <c r="T264" s="122">
        <f>INDEX(coa,INT((S263-1)/4)+1,3)</f>
        <v>0</v>
      </c>
      <c r="U264" s="225">
        <f>U263</f>
        <v>0</v>
      </c>
      <c r="V264" s="210">
        <f>IF(T265=0,0,T264-0.01)</f>
        <v>0</v>
      </c>
      <c r="W264" s="229"/>
      <c r="X264" s="210"/>
      <c r="Y264" s="210">
        <f>INDEX(coag,INT((S263-1)/4)+1,2)</f>
        <v>0</v>
      </c>
      <c r="Z264" s="210">
        <f>Z263</f>
        <v>0</v>
      </c>
      <c r="AA264" s="210">
        <f>IF(T265=0,0,Y264-0.01)</f>
        <v>0</v>
      </c>
      <c r="AC264" s="122"/>
      <c r="AD264" s="122"/>
      <c r="BE264" s="129"/>
      <c r="BF264" s="129"/>
    </row>
    <row r="265" spans="2:58" ht="12">
      <c r="B265" s="21"/>
      <c r="C265" s="21"/>
      <c r="H265" s="21"/>
      <c r="S265" s="129">
        <v>95</v>
      </c>
      <c r="T265" s="210">
        <f>INDEX(coa,INT((S263-1)/4)+1,1)/2000</f>
        <v>0</v>
      </c>
      <c r="U265" s="225">
        <f>IF(T265=0,0,T263-0.01)</f>
        <v>0</v>
      </c>
      <c r="V265" s="210">
        <f>V264</f>
        <v>0</v>
      </c>
      <c r="W265" s="229"/>
      <c r="X265" s="210"/>
      <c r="Y265" s="210">
        <f>T265</f>
        <v>0</v>
      </c>
      <c r="Z265" s="210">
        <f>IF(T265=0,0,Y263-0.01)</f>
        <v>0</v>
      </c>
      <c r="AA265" s="210">
        <f>AA264</f>
        <v>0</v>
      </c>
      <c r="AC265" s="122"/>
      <c r="AD265" s="122"/>
      <c r="BE265" s="129"/>
      <c r="BF265" s="129"/>
    </row>
    <row r="266" spans="2:58" ht="12">
      <c r="B266" s="21"/>
      <c r="C266" s="21"/>
      <c r="H266" s="21"/>
      <c r="S266" s="129">
        <v>96</v>
      </c>
      <c r="U266" s="225">
        <f>U265</f>
        <v>0</v>
      </c>
      <c r="V266" s="210">
        <f>V263</f>
        <v>0</v>
      </c>
      <c r="W266" s="229"/>
      <c r="X266" s="210"/>
      <c r="Y266" s="210"/>
      <c r="Z266" s="210">
        <f>Z265</f>
        <v>0</v>
      </c>
      <c r="AA266" s="210">
        <f>AA263</f>
        <v>0</v>
      </c>
      <c r="AC266" s="122"/>
      <c r="AD266" s="122"/>
      <c r="BE266" s="129"/>
      <c r="BF266" s="129"/>
    </row>
    <row r="267" spans="2:58" ht="12">
      <c r="B267" s="21"/>
      <c r="C267" s="21"/>
      <c r="H267" s="21"/>
      <c r="U267" s="225">
        <f>U263</f>
        <v>0</v>
      </c>
      <c r="V267" s="210">
        <f>V263</f>
        <v>0</v>
      </c>
      <c r="W267" s="229"/>
      <c r="X267" s="210"/>
      <c r="Y267" s="210"/>
      <c r="Z267" s="246">
        <f>Z263</f>
        <v>0</v>
      </c>
      <c r="AA267" s="246">
        <f>AA263</f>
        <v>0</v>
      </c>
      <c r="AC267" s="122"/>
      <c r="AD267" s="122"/>
      <c r="BE267" s="129"/>
      <c r="BF267" s="129"/>
    </row>
    <row r="268" spans="2:58" ht="12">
      <c r="B268" s="21"/>
      <c r="C268" s="21"/>
      <c r="H268" s="21"/>
      <c r="U268" s="225"/>
      <c r="V268" s="210"/>
      <c r="W268" s="229"/>
      <c r="X268" s="210"/>
      <c r="Z268" s="225"/>
      <c r="AA268" s="229"/>
      <c r="AC268" s="122"/>
      <c r="AD268" s="122"/>
      <c r="BE268" s="129"/>
      <c r="BF268" s="129"/>
    </row>
    <row r="269" spans="2:58" ht="12">
      <c r="B269" s="21"/>
      <c r="C269" s="21"/>
      <c r="H269" s="21"/>
      <c r="S269" s="129">
        <v>97</v>
      </c>
      <c r="T269" s="122">
        <f>INDEX(coa,INT((S269-1)/4)+1,2)</f>
        <v>0</v>
      </c>
      <c r="U269" s="225">
        <f>IF(T271=0,0,T269+0.01)</f>
        <v>0</v>
      </c>
      <c r="V269" s="210">
        <f>IF(T271=0,0,T270+0.01)</f>
        <v>0</v>
      </c>
      <c r="W269" s="229"/>
      <c r="X269" s="210"/>
      <c r="Y269" s="210">
        <f>INDEX(coag,INT((S269-1)/4)+1,1)</f>
        <v>0</v>
      </c>
      <c r="Z269" s="210">
        <f>IF(T271=0,0,Y269+0.01)</f>
        <v>0</v>
      </c>
      <c r="AA269" s="210">
        <f>IF(T271=0,0,Y270+0.01)</f>
        <v>0</v>
      </c>
      <c r="AC269" s="122"/>
      <c r="AD269" s="122"/>
      <c r="BE269" s="129"/>
      <c r="BF269" s="129"/>
    </row>
    <row r="270" spans="2:58" ht="12">
      <c r="B270" s="21"/>
      <c r="C270" s="21"/>
      <c r="H270" s="21"/>
      <c r="S270" s="129">
        <v>98</v>
      </c>
      <c r="T270" s="122">
        <f>INDEX(coa,INT((S269-1)/4)+1,3)</f>
        <v>0</v>
      </c>
      <c r="U270" s="225">
        <f>U269</f>
        <v>0</v>
      </c>
      <c r="V270" s="210">
        <f>IF(T271=0,0,T270-0.01)</f>
        <v>0</v>
      </c>
      <c r="W270" s="229"/>
      <c r="X270" s="210"/>
      <c r="Y270" s="210">
        <f>INDEX(coag,INT((S269-1)/4)+1,2)</f>
        <v>0</v>
      </c>
      <c r="Z270" s="210">
        <f>Z269</f>
        <v>0</v>
      </c>
      <c r="AA270" s="210">
        <f>IF(T271=0,0,Y270-0.01)</f>
        <v>0</v>
      </c>
      <c r="AC270" s="122"/>
      <c r="AD270" s="122"/>
      <c r="BE270" s="129"/>
      <c r="BF270" s="129"/>
    </row>
    <row r="271" spans="2:58" ht="12">
      <c r="B271" s="21"/>
      <c r="C271" s="21"/>
      <c r="H271" s="21"/>
      <c r="S271" s="129">
        <v>99</v>
      </c>
      <c r="T271" s="210">
        <f>INDEX(coa,INT((S269-1)/4)+1,1)/2000</f>
        <v>0</v>
      </c>
      <c r="U271" s="225">
        <f>IF(T271=0,0,T269-0.01)</f>
        <v>0</v>
      </c>
      <c r="V271" s="210">
        <f>V270</f>
        <v>0</v>
      </c>
      <c r="W271" s="229"/>
      <c r="X271" s="210"/>
      <c r="Y271" s="210">
        <f>T271</f>
        <v>0</v>
      </c>
      <c r="Z271" s="210">
        <f>IF(T271=0,0,Y269-0.01)</f>
        <v>0</v>
      </c>
      <c r="AA271" s="210">
        <f>AA270</f>
        <v>0</v>
      </c>
      <c r="AC271" s="122"/>
      <c r="AD271" s="122"/>
      <c r="BE271" s="129"/>
      <c r="BF271" s="129"/>
    </row>
    <row r="272" spans="2:58" ht="12">
      <c r="B272" s="21"/>
      <c r="C272" s="21"/>
      <c r="H272" s="21"/>
      <c r="S272" s="129">
        <v>100</v>
      </c>
      <c r="U272" s="225">
        <f>U271</f>
        <v>0</v>
      </c>
      <c r="V272" s="210">
        <f>V269</f>
        <v>0</v>
      </c>
      <c r="W272" s="229"/>
      <c r="X272" s="210"/>
      <c r="Y272" s="210"/>
      <c r="Z272" s="210">
        <f>Z271</f>
        <v>0</v>
      </c>
      <c r="AA272" s="210">
        <f>AA269</f>
        <v>0</v>
      </c>
      <c r="AC272" s="122"/>
      <c r="AD272" s="122"/>
      <c r="BE272" s="129"/>
      <c r="BF272" s="129"/>
    </row>
    <row r="273" spans="2:58" ht="12">
      <c r="B273" s="21"/>
      <c r="C273" s="21"/>
      <c r="H273" s="21"/>
      <c r="U273" s="225">
        <f>U269</f>
        <v>0</v>
      </c>
      <c r="V273" s="210">
        <f>V269</f>
        <v>0</v>
      </c>
      <c r="W273" s="229"/>
      <c r="X273" s="210"/>
      <c r="Y273" s="210"/>
      <c r="Z273" s="246">
        <f>Z269</f>
        <v>0</v>
      </c>
      <c r="AA273" s="246">
        <f>AA269</f>
        <v>0</v>
      </c>
      <c r="AC273" s="122"/>
      <c r="AD273" s="122"/>
      <c r="BE273" s="129"/>
      <c r="BF273" s="129"/>
    </row>
    <row r="274" spans="2:58" ht="12">
      <c r="B274" s="21"/>
      <c r="C274" s="21"/>
      <c r="H274" s="21"/>
      <c r="U274" s="225"/>
      <c r="V274" s="210"/>
      <c r="W274" s="229"/>
      <c r="X274" s="210"/>
      <c r="Z274" s="225"/>
      <c r="AA274" s="229"/>
      <c r="AC274" s="122"/>
      <c r="AD274" s="122"/>
      <c r="BE274" s="129"/>
      <c r="BF274" s="129"/>
    </row>
    <row r="275" spans="2:58" ht="12">
      <c r="B275" s="21"/>
      <c r="C275" s="21"/>
      <c r="H275" s="21"/>
      <c r="S275" s="129">
        <v>101</v>
      </c>
      <c r="T275" s="122">
        <f>INDEX(coa,INT((S275-1)/4)+1,2)</f>
        <v>0</v>
      </c>
      <c r="U275" s="225">
        <f>IF(T277=0,0,T275+0.01)</f>
        <v>0</v>
      </c>
      <c r="V275" s="210">
        <f>IF(T277=0,0,T276+0.01)</f>
        <v>0</v>
      </c>
      <c r="W275" s="229"/>
      <c r="X275" s="210"/>
      <c r="Y275" s="210">
        <f>INDEX(coag,INT((S275-1)/4)+1,1)</f>
        <v>0</v>
      </c>
      <c r="Z275" s="210">
        <f>IF(T277=0,0,Y275+0.01)</f>
        <v>0</v>
      </c>
      <c r="AA275" s="210">
        <f>IF(T277=0,0,Y276+0.01)</f>
        <v>0</v>
      </c>
      <c r="AC275" s="122"/>
      <c r="AD275" s="122"/>
      <c r="BE275" s="129"/>
      <c r="BF275" s="129"/>
    </row>
    <row r="276" spans="2:58" ht="12">
      <c r="B276" s="21"/>
      <c r="C276" s="21"/>
      <c r="H276" s="21"/>
      <c r="S276" s="129">
        <v>102</v>
      </c>
      <c r="T276" s="122">
        <f>INDEX(coa,INT((S275-1)/4)+1,3)</f>
        <v>0</v>
      </c>
      <c r="U276" s="225">
        <f>U275</f>
        <v>0</v>
      </c>
      <c r="V276" s="210">
        <f>IF(T277=0,0,T276-0.01)</f>
        <v>0</v>
      </c>
      <c r="W276" s="229"/>
      <c r="X276" s="210"/>
      <c r="Y276" s="210">
        <f>INDEX(coag,INT((S275-1)/4)+1,2)</f>
        <v>0</v>
      </c>
      <c r="Z276" s="210">
        <f>Z275</f>
        <v>0</v>
      </c>
      <c r="AA276" s="210">
        <f>IF(T277=0,0,Y276-0.01)</f>
        <v>0</v>
      </c>
      <c r="AC276" s="122"/>
      <c r="AD276" s="122"/>
      <c r="BE276" s="129"/>
      <c r="BF276" s="129"/>
    </row>
    <row r="277" spans="2:58" ht="12">
      <c r="B277" s="21"/>
      <c r="C277" s="21"/>
      <c r="H277" s="21"/>
      <c r="S277" s="129">
        <v>103</v>
      </c>
      <c r="T277" s="210">
        <f>INDEX(coa,INT((S275-1)/4)+1,1)/2000</f>
        <v>0</v>
      </c>
      <c r="U277" s="225">
        <f>IF(T277=0,0,T275-0.01)</f>
        <v>0</v>
      </c>
      <c r="V277" s="210">
        <f>V276</f>
        <v>0</v>
      </c>
      <c r="W277" s="229"/>
      <c r="X277" s="210"/>
      <c r="Y277" s="210">
        <f>T277</f>
        <v>0</v>
      </c>
      <c r="Z277" s="210">
        <f>IF(T277=0,0,Y275-0.01)</f>
        <v>0</v>
      </c>
      <c r="AA277" s="210">
        <f>AA276</f>
        <v>0</v>
      </c>
      <c r="AC277" s="122"/>
      <c r="AD277" s="122"/>
      <c r="BE277" s="129"/>
      <c r="BF277" s="129"/>
    </row>
    <row r="278" spans="2:58" ht="12">
      <c r="B278" s="21"/>
      <c r="C278" s="21"/>
      <c r="H278" s="21"/>
      <c r="S278" s="129">
        <v>104</v>
      </c>
      <c r="U278" s="225">
        <f>U277</f>
        <v>0</v>
      </c>
      <c r="V278" s="210">
        <f>V275</f>
        <v>0</v>
      </c>
      <c r="W278" s="229"/>
      <c r="X278" s="210"/>
      <c r="Y278" s="210"/>
      <c r="Z278" s="210">
        <f>Z277</f>
        <v>0</v>
      </c>
      <c r="AA278" s="210">
        <f>AA275</f>
        <v>0</v>
      </c>
      <c r="AC278" s="122"/>
      <c r="AD278" s="122"/>
      <c r="BE278" s="129"/>
      <c r="BF278" s="129"/>
    </row>
    <row r="279" spans="2:58" ht="12">
      <c r="B279" s="21"/>
      <c r="C279" s="21"/>
      <c r="H279" s="21"/>
      <c r="U279" s="225">
        <f>U275</f>
        <v>0</v>
      </c>
      <c r="V279" s="210">
        <f>V275</f>
        <v>0</v>
      </c>
      <c r="W279" s="229"/>
      <c r="X279" s="210"/>
      <c r="Y279" s="210"/>
      <c r="Z279" s="246">
        <f>Z275</f>
        <v>0</v>
      </c>
      <c r="AA279" s="246">
        <f>AA275</f>
        <v>0</v>
      </c>
      <c r="AC279" s="122"/>
      <c r="AD279" s="122"/>
      <c r="BE279" s="129"/>
      <c r="BF279" s="129"/>
    </row>
    <row r="280" spans="2:58" ht="12">
      <c r="B280" s="21"/>
      <c r="C280" s="21"/>
      <c r="H280" s="21"/>
      <c r="U280" s="225"/>
      <c r="V280" s="210"/>
      <c r="W280" s="229"/>
      <c r="X280" s="210"/>
      <c r="Z280" s="225"/>
      <c r="AA280" s="229"/>
      <c r="AC280" s="122"/>
      <c r="AD280" s="122"/>
      <c r="BE280" s="129"/>
      <c r="BF280" s="129"/>
    </row>
    <row r="281" spans="2:58" ht="12">
      <c r="B281" s="21"/>
      <c r="C281" s="21"/>
      <c r="H281" s="21"/>
      <c r="S281" s="129">
        <v>105</v>
      </c>
      <c r="T281" s="122">
        <f>INDEX(coa,INT((S281-1)/4)+1,2)</f>
        <v>0</v>
      </c>
      <c r="U281" s="225">
        <f>IF(T283=0,0,T281+0.01)</f>
        <v>0</v>
      </c>
      <c r="V281" s="210">
        <f>IF(T283=0,0,T282+0.01)</f>
        <v>0</v>
      </c>
      <c r="W281" s="229"/>
      <c r="X281" s="210"/>
      <c r="Y281" s="210">
        <f>INDEX(coag,INT((S281-1)/4)+1,1)</f>
        <v>0</v>
      </c>
      <c r="Z281" s="210">
        <f>IF(T283=0,0,Y281+0.01)</f>
        <v>0</v>
      </c>
      <c r="AA281" s="210">
        <f>IF(T283=0,0,Y282+0.01)</f>
        <v>0</v>
      </c>
      <c r="AC281" s="122"/>
      <c r="AD281" s="122"/>
      <c r="BE281" s="129"/>
      <c r="BF281" s="129"/>
    </row>
    <row r="282" spans="2:58" ht="12">
      <c r="B282" s="21"/>
      <c r="C282" s="21"/>
      <c r="H282" s="21"/>
      <c r="S282" s="129">
        <v>106</v>
      </c>
      <c r="T282" s="122">
        <f>INDEX(coa,INT((S281-1)/4)+1,3)</f>
        <v>0</v>
      </c>
      <c r="U282" s="225">
        <f>U281</f>
        <v>0</v>
      </c>
      <c r="V282" s="210">
        <f>IF(T283=0,0,T282-0.01)</f>
        <v>0</v>
      </c>
      <c r="W282" s="229"/>
      <c r="X282" s="210"/>
      <c r="Y282" s="210">
        <f>INDEX(coag,INT((S281-1)/4)+1,2)</f>
        <v>0</v>
      </c>
      <c r="Z282" s="210">
        <f>Z281</f>
        <v>0</v>
      </c>
      <c r="AA282" s="210">
        <f>IF(T283=0,0,Y282-0.01)</f>
        <v>0</v>
      </c>
      <c r="AC282" s="122"/>
      <c r="AD282" s="122"/>
      <c r="BE282" s="129"/>
      <c r="BF282" s="129"/>
    </row>
    <row r="283" spans="2:58" ht="12">
      <c r="B283" s="21"/>
      <c r="C283" s="21"/>
      <c r="H283" s="21"/>
      <c r="S283" s="129">
        <v>107</v>
      </c>
      <c r="T283" s="210">
        <f>INDEX(coa,INT((S281-1)/4)+1,1)/2000</f>
        <v>0</v>
      </c>
      <c r="U283" s="225">
        <f>IF(T283=0,0,T281-0.01)</f>
        <v>0</v>
      </c>
      <c r="V283" s="210">
        <f>V282</f>
        <v>0</v>
      </c>
      <c r="W283" s="229"/>
      <c r="X283" s="210"/>
      <c r="Y283" s="210">
        <f>T283</f>
        <v>0</v>
      </c>
      <c r="Z283" s="210">
        <f>IF(T283=0,0,Y281-0.01)</f>
        <v>0</v>
      </c>
      <c r="AA283" s="210">
        <f>AA282</f>
        <v>0</v>
      </c>
      <c r="AC283" s="122"/>
      <c r="AD283" s="122"/>
      <c r="BE283" s="129"/>
      <c r="BF283" s="129"/>
    </row>
    <row r="284" spans="2:58" ht="12">
      <c r="B284" s="21"/>
      <c r="C284" s="21"/>
      <c r="H284" s="21"/>
      <c r="S284" s="129">
        <v>108</v>
      </c>
      <c r="U284" s="225">
        <f>U283</f>
        <v>0</v>
      </c>
      <c r="V284" s="210">
        <f>V281</f>
        <v>0</v>
      </c>
      <c r="W284" s="229"/>
      <c r="X284" s="210"/>
      <c r="Y284" s="210"/>
      <c r="Z284" s="210">
        <f>Z283</f>
        <v>0</v>
      </c>
      <c r="AA284" s="210">
        <f>AA281</f>
        <v>0</v>
      </c>
      <c r="AC284" s="122"/>
      <c r="AD284" s="122"/>
      <c r="BE284" s="129"/>
      <c r="BF284" s="129"/>
    </row>
    <row r="285" spans="2:58" ht="12">
      <c r="B285" s="21"/>
      <c r="C285" s="21"/>
      <c r="H285" s="21"/>
      <c r="U285" s="225">
        <f>U281</f>
        <v>0</v>
      </c>
      <c r="V285" s="210">
        <f>V281</f>
        <v>0</v>
      </c>
      <c r="W285" s="229"/>
      <c r="X285" s="210"/>
      <c r="Y285" s="210"/>
      <c r="Z285" s="246">
        <f>Z281</f>
        <v>0</v>
      </c>
      <c r="AA285" s="246">
        <f>AA281</f>
        <v>0</v>
      </c>
      <c r="AC285" s="122"/>
      <c r="AD285" s="122"/>
      <c r="BE285" s="129"/>
      <c r="BF285" s="129"/>
    </row>
    <row r="286" spans="2:58" ht="12">
      <c r="B286" s="21"/>
      <c r="C286" s="21"/>
      <c r="H286" s="21"/>
      <c r="U286" s="225"/>
      <c r="V286" s="210"/>
      <c r="W286" s="229"/>
      <c r="X286" s="210"/>
      <c r="Z286" s="225"/>
      <c r="AA286" s="229"/>
      <c r="AC286" s="122"/>
      <c r="AD286" s="122"/>
      <c r="BE286" s="129"/>
      <c r="BF286" s="129"/>
    </row>
    <row r="287" spans="2:58" ht="12">
      <c r="B287" s="21"/>
      <c r="C287" s="21"/>
      <c r="H287" s="21"/>
      <c r="S287" s="129">
        <v>109</v>
      </c>
      <c r="T287" s="122">
        <f>INDEX(coa,INT((S287-1)/4)+1,2)</f>
        <v>0</v>
      </c>
      <c r="U287" s="225">
        <f>IF(T289=0,0,T287+0.01)</f>
        <v>0</v>
      </c>
      <c r="V287" s="210">
        <f>IF(T289=0,0,T288+0.01)</f>
        <v>0</v>
      </c>
      <c r="W287" s="229"/>
      <c r="X287" s="210"/>
      <c r="Y287" s="210">
        <f>INDEX(coag,INT((S287-1)/4)+1,1)</f>
        <v>0</v>
      </c>
      <c r="Z287" s="210">
        <f>IF(T289=0,0,Y287+0.01)</f>
        <v>0</v>
      </c>
      <c r="AA287" s="210">
        <f>IF(T289=0,0,Y288+0.01)</f>
        <v>0</v>
      </c>
      <c r="AC287" s="122"/>
      <c r="AD287" s="122"/>
      <c r="BE287" s="129"/>
      <c r="BF287" s="129"/>
    </row>
    <row r="288" spans="2:58" ht="12">
      <c r="B288" s="21"/>
      <c r="C288" s="21"/>
      <c r="H288" s="21"/>
      <c r="S288" s="129">
        <v>110</v>
      </c>
      <c r="T288" s="122">
        <f>INDEX(coa,INT((S287-1)/4)+1,3)</f>
        <v>0</v>
      </c>
      <c r="U288" s="225">
        <f>U287</f>
        <v>0</v>
      </c>
      <c r="V288" s="210">
        <f>IF(T289=0,0,T288-0.01)</f>
        <v>0</v>
      </c>
      <c r="W288" s="229"/>
      <c r="X288" s="210"/>
      <c r="Y288" s="210">
        <f>INDEX(coag,INT((S287-1)/4)+1,2)</f>
        <v>0</v>
      </c>
      <c r="Z288" s="210">
        <f>Z287</f>
        <v>0</v>
      </c>
      <c r="AA288" s="210">
        <f>IF(T289=0,0,Y288-0.01)</f>
        <v>0</v>
      </c>
      <c r="AC288" s="122"/>
      <c r="AD288" s="122"/>
      <c r="BE288" s="129"/>
      <c r="BF288" s="129"/>
    </row>
    <row r="289" spans="2:58" ht="12">
      <c r="B289" s="21"/>
      <c r="C289" s="21"/>
      <c r="H289" s="21"/>
      <c r="S289" s="129">
        <v>111</v>
      </c>
      <c r="T289" s="210">
        <f>INDEX(coa,INT((S287-1)/4)+1,1)/2000</f>
        <v>0</v>
      </c>
      <c r="U289" s="225">
        <f>IF(T289=0,0,T287-0.01)</f>
        <v>0</v>
      </c>
      <c r="V289" s="210">
        <f>V288</f>
        <v>0</v>
      </c>
      <c r="W289" s="229"/>
      <c r="X289" s="210"/>
      <c r="Y289" s="210">
        <f>T289</f>
        <v>0</v>
      </c>
      <c r="Z289" s="210">
        <f>IF(T289=0,0,Y287-0.01)</f>
        <v>0</v>
      </c>
      <c r="AA289" s="210">
        <f>AA288</f>
        <v>0</v>
      </c>
      <c r="AC289" s="122"/>
      <c r="AD289" s="122"/>
      <c r="BE289" s="129"/>
      <c r="BF289" s="129"/>
    </row>
    <row r="290" spans="2:58" ht="12">
      <c r="B290" s="21"/>
      <c r="C290" s="21"/>
      <c r="H290" s="21"/>
      <c r="S290" s="129">
        <v>112</v>
      </c>
      <c r="U290" s="225">
        <f>U289</f>
        <v>0</v>
      </c>
      <c r="V290" s="210">
        <f>V287</f>
        <v>0</v>
      </c>
      <c r="W290" s="229"/>
      <c r="X290" s="210"/>
      <c r="Y290" s="210"/>
      <c r="Z290" s="210">
        <f>Z289</f>
        <v>0</v>
      </c>
      <c r="AA290" s="210">
        <f>AA287</f>
        <v>0</v>
      </c>
      <c r="AC290" s="122"/>
      <c r="AD290" s="122"/>
      <c r="BE290" s="129"/>
      <c r="BF290" s="129"/>
    </row>
    <row r="291" spans="2:58" ht="12">
      <c r="B291" s="21"/>
      <c r="C291" s="21"/>
      <c r="H291" s="21"/>
      <c r="U291" s="225">
        <f>U287</f>
        <v>0</v>
      </c>
      <c r="V291" s="210">
        <f>V287</f>
        <v>0</v>
      </c>
      <c r="W291" s="229"/>
      <c r="X291" s="210"/>
      <c r="Y291" s="210"/>
      <c r="Z291" s="246">
        <f>Z287</f>
        <v>0</v>
      </c>
      <c r="AA291" s="246">
        <f>AA287</f>
        <v>0</v>
      </c>
      <c r="AC291" s="122"/>
      <c r="AD291" s="122"/>
      <c r="BE291" s="129"/>
      <c r="BF291" s="129"/>
    </row>
    <row r="292" spans="2:58" ht="12">
      <c r="B292" s="21"/>
      <c r="C292" s="21"/>
      <c r="H292" s="21"/>
      <c r="U292" s="225"/>
      <c r="V292" s="210"/>
      <c r="W292" s="229"/>
      <c r="X292" s="210"/>
      <c r="Z292" s="225"/>
      <c r="AA292" s="229"/>
      <c r="AC292" s="122"/>
      <c r="AD292" s="122"/>
      <c r="BE292" s="129"/>
      <c r="BF292" s="129"/>
    </row>
    <row r="293" spans="2:58" ht="12">
      <c r="B293" s="21"/>
      <c r="C293" s="21"/>
      <c r="H293" s="21"/>
      <c r="S293" s="129">
        <v>113</v>
      </c>
      <c r="T293" s="122">
        <f>INDEX(coa,INT((S293-1)/4)+1,2)</f>
        <v>0</v>
      </c>
      <c r="U293" s="225">
        <f>IF(T295=0,0,T293+0.01)</f>
        <v>0</v>
      </c>
      <c r="V293" s="210">
        <f>IF(T295=0,0,T294+0.01)</f>
        <v>0</v>
      </c>
      <c r="W293" s="229"/>
      <c r="X293" s="210"/>
      <c r="Y293" s="210">
        <f>INDEX(coag,INT((S293-1)/4)+1,1)</f>
        <v>0</v>
      </c>
      <c r="Z293" s="210">
        <f>IF(T295=0,0,Y293+0.01)</f>
        <v>0</v>
      </c>
      <c r="AA293" s="210">
        <f>IF(T295=0,0,Y294+0.01)</f>
        <v>0</v>
      </c>
      <c r="AC293" s="122"/>
      <c r="AD293" s="122"/>
      <c r="BE293" s="129"/>
      <c r="BF293" s="129"/>
    </row>
    <row r="294" spans="2:58" ht="12">
      <c r="B294" s="21"/>
      <c r="C294" s="21"/>
      <c r="H294" s="21"/>
      <c r="S294" s="129">
        <v>114</v>
      </c>
      <c r="T294" s="122">
        <f>INDEX(coa,INT((S293-1)/4)+1,3)</f>
        <v>0</v>
      </c>
      <c r="U294" s="225">
        <f>U293</f>
        <v>0</v>
      </c>
      <c r="V294" s="210">
        <f>IF(T295=0,0,T294-0.01)</f>
        <v>0</v>
      </c>
      <c r="W294" s="229"/>
      <c r="X294" s="210"/>
      <c r="Y294" s="210">
        <f>INDEX(coag,INT((S293-1)/4)+1,2)</f>
        <v>0</v>
      </c>
      <c r="Z294" s="210">
        <f>Z293</f>
        <v>0</v>
      </c>
      <c r="AA294" s="210">
        <f>IF(T295=0,0,Y294-0.01)</f>
        <v>0</v>
      </c>
      <c r="AC294" s="122"/>
      <c r="AD294" s="122"/>
      <c r="BE294" s="129"/>
      <c r="BF294" s="129"/>
    </row>
    <row r="295" spans="2:58" ht="12">
      <c r="B295" s="21"/>
      <c r="C295" s="21"/>
      <c r="H295" s="21"/>
      <c r="S295" s="129">
        <v>115</v>
      </c>
      <c r="T295" s="210">
        <f>INDEX(coa,INT((S293-1)/4)+1,1)/2000</f>
        <v>0</v>
      </c>
      <c r="U295" s="225">
        <f>IF(T295=0,0,T293-0.01)</f>
        <v>0</v>
      </c>
      <c r="V295" s="210">
        <f>V294</f>
        <v>0</v>
      </c>
      <c r="W295" s="229"/>
      <c r="X295" s="210"/>
      <c r="Y295" s="210">
        <f>T295</f>
        <v>0</v>
      </c>
      <c r="Z295" s="210">
        <f>IF(T295=0,0,Y293-0.01)</f>
        <v>0</v>
      </c>
      <c r="AA295" s="210">
        <f>AA294</f>
        <v>0</v>
      </c>
      <c r="AC295" s="122"/>
      <c r="AD295" s="122"/>
      <c r="BE295" s="129"/>
      <c r="BF295" s="129"/>
    </row>
    <row r="296" spans="2:58" ht="12">
      <c r="B296" s="21"/>
      <c r="C296" s="21"/>
      <c r="H296" s="21"/>
      <c r="S296" s="129">
        <v>116</v>
      </c>
      <c r="U296" s="225">
        <f>U295</f>
        <v>0</v>
      </c>
      <c r="V296" s="210">
        <f>V293</f>
        <v>0</v>
      </c>
      <c r="W296" s="229"/>
      <c r="X296" s="210"/>
      <c r="Y296" s="210"/>
      <c r="Z296" s="210">
        <f>Z295</f>
        <v>0</v>
      </c>
      <c r="AA296" s="210">
        <f>AA293</f>
        <v>0</v>
      </c>
      <c r="AC296" s="122"/>
      <c r="AD296" s="122"/>
      <c r="BE296" s="129"/>
      <c r="BF296" s="129"/>
    </row>
    <row r="297" spans="2:58" ht="12">
      <c r="B297" s="21"/>
      <c r="C297" s="21"/>
      <c r="H297" s="21"/>
      <c r="U297" s="225">
        <f>U293</f>
        <v>0</v>
      </c>
      <c r="V297" s="210">
        <f>V293</f>
        <v>0</v>
      </c>
      <c r="W297" s="229"/>
      <c r="X297" s="210"/>
      <c r="Y297" s="210"/>
      <c r="Z297" s="246">
        <f>Z293</f>
        <v>0</v>
      </c>
      <c r="AA297" s="246">
        <f>AA293</f>
        <v>0</v>
      </c>
      <c r="AC297" s="122"/>
      <c r="AD297" s="122"/>
      <c r="BE297" s="129"/>
      <c r="BF297" s="129"/>
    </row>
    <row r="298" spans="2:58" ht="12">
      <c r="B298" s="21"/>
      <c r="C298" s="21"/>
      <c r="H298" s="21"/>
      <c r="U298" s="225"/>
      <c r="V298" s="210"/>
      <c r="W298" s="229"/>
      <c r="X298" s="210"/>
      <c r="Z298" s="225"/>
      <c r="AA298" s="229"/>
      <c r="AC298" s="122"/>
      <c r="AD298" s="122"/>
      <c r="BE298" s="129"/>
      <c r="BF298" s="129"/>
    </row>
    <row r="299" spans="2:58" ht="12">
      <c r="B299" s="21"/>
      <c r="C299" s="21"/>
      <c r="H299" s="21"/>
      <c r="S299" s="129">
        <v>117</v>
      </c>
      <c r="T299" s="122">
        <f>INDEX(coa,INT((S299-1)/4)+1,2)</f>
        <v>0</v>
      </c>
      <c r="U299" s="225">
        <f>IF(T301=0,0,T299+0.01)</f>
        <v>0</v>
      </c>
      <c r="V299" s="210">
        <f>IF(T301=0,0,T300+0.01)</f>
        <v>0</v>
      </c>
      <c r="W299" s="229"/>
      <c r="X299" s="210"/>
      <c r="Y299" s="210">
        <f>INDEX(coag,INT((S299-1)/4)+1,1)</f>
        <v>0</v>
      </c>
      <c r="Z299" s="210">
        <f>IF(T301=0,0,Y299+0.01)</f>
        <v>0</v>
      </c>
      <c r="AA299" s="210">
        <f>IF(T301=0,0,Y300+0.01)</f>
        <v>0</v>
      </c>
      <c r="AC299" s="122"/>
      <c r="AD299" s="122"/>
      <c r="BE299" s="129"/>
      <c r="BF299" s="129"/>
    </row>
    <row r="300" spans="2:58" ht="12">
      <c r="B300" s="21"/>
      <c r="C300" s="21"/>
      <c r="H300" s="21"/>
      <c r="S300" s="129">
        <v>118</v>
      </c>
      <c r="T300" s="122">
        <f>INDEX(coa,INT((S299-1)/4)+1,3)</f>
        <v>0</v>
      </c>
      <c r="U300" s="225">
        <f>U299</f>
        <v>0</v>
      </c>
      <c r="V300" s="210">
        <f>IF(T301=0,0,T300-0.01)</f>
        <v>0</v>
      </c>
      <c r="W300" s="229"/>
      <c r="X300" s="210"/>
      <c r="Y300" s="210">
        <f>INDEX(coag,INT((S299-1)/4)+1,2)</f>
        <v>0</v>
      </c>
      <c r="Z300" s="210">
        <f>Z299</f>
        <v>0</v>
      </c>
      <c r="AA300" s="210">
        <f>IF(T301=0,0,Y300-0.01)</f>
        <v>0</v>
      </c>
      <c r="AC300" s="122"/>
      <c r="AD300" s="122"/>
      <c r="BE300" s="129"/>
      <c r="BF300" s="129"/>
    </row>
    <row r="301" spans="2:58" ht="12">
      <c r="B301" s="21"/>
      <c r="C301" s="21"/>
      <c r="H301" s="21"/>
      <c r="S301" s="129">
        <v>119</v>
      </c>
      <c r="T301" s="210">
        <f>INDEX(coa,INT((S299-1)/4)+1,1)/2000</f>
        <v>0</v>
      </c>
      <c r="U301" s="225">
        <f>IF(T301=0,0,T299-0.01)</f>
        <v>0</v>
      </c>
      <c r="V301" s="210">
        <f>V300</f>
        <v>0</v>
      </c>
      <c r="W301" s="229"/>
      <c r="X301" s="210"/>
      <c r="Y301" s="210">
        <f>T301</f>
        <v>0</v>
      </c>
      <c r="Z301" s="210">
        <f>IF(T301=0,0,Y299-0.01)</f>
        <v>0</v>
      </c>
      <c r="AA301" s="210">
        <f>AA300</f>
        <v>0</v>
      </c>
      <c r="AC301" s="122"/>
      <c r="AD301" s="122"/>
      <c r="BE301" s="129"/>
      <c r="BF301" s="129"/>
    </row>
    <row r="302" spans="2:58" ht="12">
      <c r="B302" s="21"/>
      <c r="C302" s="21"/>
      <c r="H302" s="21"/>
      <c r="S302" s="129">
        <v>120</v>
      </c>
      <c r="U302" s="225">
        <f>U301</f>
        <v>0</v>
      </c>
      <c r="V302" s="210">
        <f>V299</f>
        <v>0</v>
      </c>
      <c r="W302" s="229"/>
      <c r="X302" s="210"/>
      <c r="Y302" s="210"/>
      <c r="Z302" s="210">
        <f>Z301</f>
        <v>0</v>
      </c>
      <c r="AA302" s="210">
        <f>AA299</f>
        <v>0</v>
      </c>
      <c r="AC302" s="122"/>
      <c r="AD302" s="122"/>
      <c r="BE302" s="129"/>
      <c r="BF302" s="129"/>
    </row>
    <row r="303" spans="2:58" ht="12">
      <c r="B303" s="21"/>
      <c r="C303" s="21"/>
      <c r="H303" s="21"/>
      <c r="U303" s="225">
        <f>U299</f>
        <v>0</v>
      </c>
      <c r="V303" s="210">
        <f>V299</f>
        <v>0</v>
      </c>
      <c r="W303" s="229"/>
      <c r="X303" s="210"/>
      <c r="Y303" s="210"/>
      <c r="Z303" s="246">
        <f>Z299</f>
        <v>0</v>
      </c>
      <c r="AA303" s="246">
        <f>AA299</f>
        <v>0</v>
      </c>
      <c r="AC303" s="122"/>
      <c r="AD303" s="122"/>
      <c r="BE303" s="129"/>
      <c r="BF303" s="129"/>
    </row>
    <row r="304" spans="2:58" ht="12">
      <c r="B304" s="21"/>
      <c r="C304" s="21"/>
      <c r="H304" s="21"/>
      <c r="U304" s="225"/>
      <c r="V304" s="210"/>
      <c r="W304" s="229"/>
      <c r="X304" s="210"/>
      <c r="Z304" s="225"/>
      <c r="AA304" s="229"/>
      <c r="AC304" s="122"/>
      <c r="AD304" s="122"/>
      <c r="BE304" s="129"/>
      <c r="BF304" s="129"/>
    </row>
    <row r="305" spans="2:58" ht="12">
      <c r="B305" s="21"/>
      <c r="C305" s="21"/>
      <c r="H305" s="21"/>
      <c r="S305" s="129">
        <v>121</v>
      </c>
      <c r="T305" s="122">
        <f>INDEX(coa,INT((S305-1)/4)+1,2)</f>
        <v>0</v>
      </c>
      <c r="U305" s="225">
        <f>IF(T307=0,0,T305+0.01)</f>
        <v>0</v>
      </c>
      <c r="V305" s="210">
        <f>IF(T307=0,0,T306+0.01)</f>
        <v>0</v>
      </c>
      <c r="W305" s="229"/>
      <c r="X305" s="210"/>
      <c r="Y305" s="210">
        <f>INDEX(coag,INT((S305-1)/4)+1,1)</f>
        <v>0</v>
      </c>
      <c r="Z305" s="210">
        <f>IF(T307=0,0,Y305+0.01)</f>
        <v>0</v>
      </c>
      <c r="AA305" s="210">
        <f>IF(T307=0,0,Y306+0.01)</f>
        <v>0</v>
      </c>
      <c r="AC305" s="122"/>
      <c r="AD305" s="122"/>
      <c r="BE305" s="129"/>
      <c r="BF305" s="129"/>
    </row>
    <row r="306" spans="2:58" ht="12">
      <c r="B306" s="21"/>
      <c r="C306" s="21"/>
      <c r="H306" s="21"/>
      <c r="S306" s="129">
        <v>122</v>
      </c>
      <c r="T306" s="122">
        <f>INDEX(coa,INT((S305-1)/4)+1,3)</f>
        <v>0</v>
      </c>
      <c r="U306" s="225">
        <f>U305</f>
        <v>0</v>
      </c>
      <c r="V306" s="210">
        <f>IF(T307=0,0,T306-0.01)</f>
        <v>0</v>
      </c>
      <c r="W306" s="229"/>
      <c r="X306" s="210"/>
      <c r="Y306" s="210">
        <f>INDEX(coag,INT((S305-1)/4)+1,2)</f>
        <v>0</v>
      </c>
      <c r="Z306" s="210">
        <f>Z305</f>
        <v>0</v>
      </c>
      <c r="AA306" s="210">
        <f>IF(T307=0,0,Y306-0.01)</f>
        <v>0</v>
      </c>
      <c r="AC306" s="122"/>
      <c r="AD306" s="122"/>
      <c r="BE306" s="129"/>
      <c r="BF306" s="129"/>
    </row>
    <row r="307" spans="2:58" ht="12">
      <c r="B307" s="21"/>
      <c r="C307" s="21"/>
      <c r="H307" s="21"/>
      <c r="S307" s="129">
        <v>123</v>
      </c>
      <c r="T307" s="210">
        <f>INDEX(coa,INT((S305-1)/4)+1,1)/2000</f>
        <v>0</v>
      </c>
      <c r="U307" s="225">
        <f>IF(T307=0,0,T305-0.01)</f>
        <v>0</v>
      </c>
      <c r="V307" s="210">
        <f>V306</f>
        <v>0</v>
      </c>
      <c r="W307" s="229"/>
      <c r="X307" s="210"/>
      <c r="Y307" s="210">
        <f>T307</f>
        <v>0</v>
      </c>
      <c r="Z307" s="210">
        <f>IF(T307=0,0,Y305-0.01)</f>
        <v>0</v>
      </c>
      <c r="AA307" s="210">
        <f>AA306</f>
        <v>0</v>
      </c>
      <c r="AC307" s="122"/>
      <c r="AD307" s="122"/>
      <c r="BE307" s="129"/>
      <c r="BF307" s="129"/>
    </row>
    <row r="308" spans="2:58" ht="12">
      <c r="B308" s="21"/>
      <c r="C308" s="21"/>
      <c r="H308" s="21"/>
      <c r="S308" s="129">
        <v>124</v>
      </c>
      <c r="U308" s="225">
        <f>U307</f>
        <v>0</v>
      </c>
      <c r="V308" s="210">
        <f>V305</f>
        <v>0</v>
      </c>
      <c r="W308" s="229"/>
      <c r="X308" s="210"/>
      <c r="Y308" s="210"/>
      <c r="Z308" s="210">
        <f>Z307</f>
        <v>0</v>
      </c>
      <c r="AA308" s="210">
        <f>AA305</f>
        <v>0</v>
      </c>
      <c r="AC308" s="122"/>
      <c r="AD308" s="122"/>
      <c r="BE308" s="129"/>
      <c r="BF308" s="129"/>
    </row>
    <row r="309" spans="2:58" ht="12">
      <c r="B309" s="21"/>
      <c r="C309" s="21"/>
      <c r="H309" s="21"/>
      <c r="U309" s="225">
        <f>U305</f>
        <v>0</v>
      </c>
      <c r="V309" s="210">
        <f>V305</f>
        <v>0</v>
      </c>
      <c r="W309" s="229"/>
      <c r="X309" s="210"/>
      <c r="Y309" s="210"/>
      <c r="Z309" s="246">
        <f>Z305</f>
        <v>0</v>
      </c>
      <c r="AA309" s="246">
        <f>AA305</f>
        <v>0</v>
      </c>
      <c r="AC309" s="122"/>
      <c r="AD309" s="122"/>
      <c r="BE309" s="129"/>
      <c r="BF309" s="129"/>
    </row>
    <row r="310" spans="2:58" ht="12">
      <c r="B310" s="21"/>
      <c r="C310" s="21"/>
      <c r="H310" s="21"/>
      <c r="U310" s="225"/>
      <c r="V310" s="210"/>
      <c r="W310" s="229"/>
      <c r="X310" s="210"/>
      <c r="Z310" s="225"/>
      <c r="AA310" s="229"/>
      <c r="AC310" s="122"/>
      <c r="AD310" s="122"/>
      <c r="BE310" s="129"/>
      <c r="BF310" s="129"/>
    </row>
    <row r="311" spans="2:58" ht="12">
      <c r="B311" s="21"/>
      <c r="C311" s="21"/>
      <c r="H311" s="21"/>
      <c r="S311" s="129">
        <v>125</v>
      </c>
      <c r="T311" s="122">
        <f>INDEX(coa,INT((S311-1)/4)+1,2)</f>
        <v>0</v>
      </c>
      <c r="U311" s="225">
        <f>IF(T313=0,0,T311+0.01)</f>
        <v>0</v>
      </c>
      <c r="V311" s="210">
        <f>IF(T313=0,0,T312+0.01)</f>
        <v>0</v>
      </c>
      <c r="W311" s="229"/>
      <c r="X311" s="210"/>
      <c r="Y311" s="210">
        <f>INDEX(coag,INT((S311-1)/4)+1,1)</f>
        <v>0</v>
      </c>
      <c r="Z311" s="210">
        <f>IF(T313=0,0,Y311+0.01)</f>
        <v>0</v>
      </c>
      <c r="AA311" s="210">
        <f>IF(T313=0,0,Y312+0.01)</f>
        <v>0</v>
      </c>
      <c r="AC311" s="122"/>
      <c r="AD311" s="122"/>
      <c r="BE311" s="129"/>
      <c r="BF311" s="129"/>
    </row>
    <row r="312" spans="2:58" ht="12">
      <c r="B312" s="21"/>
      <c r="C312" s="21"/>
      <c r="H312" s="21"/>
      <c r="S312" s="129">
        <v>126</v>
      </c>
      <c r="T312" s="122">
        <f>INDEX(coa,INT((S311-1)/4)+1,3)</f>
        <v>0</v>
      </c>
      <c r="U312" s="225">
        <f>U311</f>
        <v>0</v>
      </c>
      <c r="V312" s="210">
        <f>IF(T313=0,0,T312-0.01)</f>
        <v>0</v>
      </c>
      <c r="W312" s="229"/>
      <c r="X312" s="210"/>
      <c r="Y312" s="210">
        <f>INDEX(coag,INT((S311-1)/4)+1,2)</f>
        <v>0</v>
      </c>
      <c r="Z312" s="210">
        <f>Z311</f>
        <v>0</v>
      </c>
      <c r="AA312" s="210">
        <f>IF(T313=0,0,Y312-0.01)</f>
        <v>0</v>
      </c>
      <c r="AC312" s="122"/>
      <c r="AD312" s="122"/>
      <c r="BE312" s="129"/>
      <c r="BF312" s="129"/>
    </row>
    <row r="313" spans="2:58" ht="12">
      <c r="B313" s="21"/>
      <c r="C313" s="21"/>
      <c r="H313" s="21"/>
      <c r="S313" s="129">
        <v>127</v>
      </c>
      <c r="T313" s="210">
        <f>INDEX(coa,INT((S311-1)/4)+1,1)/2000</f>
        <v>0</v>
      </c>
      <c r="U313" s="225">
        <f>IF(T313=0,0,T311-0.01)</f>
        <v>0</v>
      </c>
      <c r="V313" s="210">
        <f>V312</f>
        <v>0</v>
      </c>
      <c r="W313" s="229"/>
      <c r="X313" s="210"/>
      <c r="Y313" s="210">
        <f>T313</f>
        <v>0</v>
      </c>
      <c r="Z313" s="210">
        <f>IF(T313=0,0,Y311-0.01)</f>
        <v>0</v>
      </c>
      <c r="AA313" s="210">
        <f>AA312</f>
        <v>0</v>
      </c>
      <c r="AC313" s="122"/>
      <c r="AD313" s="122"/>
      <c r="BE313" s="129"/>
      <c r="BF313" s="129"/>
    </row>
    <row r="314" spans="2:58" ht="12">
      <c r="B314" s="21"/>
      <c r="C314" s="21"/>
      <c r="H314" s="21"/>
      <c r="S314" s="129">
        <v>128</v>
      </c>
      <c r="U314" s="225">
        <f>U313</f>
        <v>0</v>
      </c>
      <c r="V314" s="210">
        <f>V311</f>
        <v>0</v>
      </c>
      <c r="W314" s="229"/>
      <c r="X314" s="210"/>
      <c r="Y314" s="210"/>
      <c r="Z314" s="210">
        <f>Z313</f>
        <v>0</v>
      </c>
      <c r="AA314" s="210">
        <f>AA311</f>
        <v>0</v>
      </c>
      <c r="AC314" s="122"/>
      <c r="AD314" s="122"/>
      <c r="BE314" s="129"/>
      <c r="BF314" s="129"/>
    </row>
    <row r="315" spans="2:58" ht="12">
      <c r="B315" s="21"/>
      <c r="C315" s="21"/>
      <c r="H315" s="21"/>
      <c r="U315" s="225">
        <f>U311</f>
        <v>0</v>
      </c>
      <c r="V315" s="210">
        <f>V311</f>
        <v>0</v>
      </c>
      <c r="W315" s="229"/>
      <c r="X315" s="210"/>
      <c r="Y315" s="210"/>
      <c r="Z315" s="246">
        <f>Z311</f>
        <v>0</v>
      </c>
      <c r="AA315" s="246">
        <f>AA311</f>
        <v>0</v>
      </c>
      <c r="AC315" s="122"/>
      <c r="AD315" s="122"/>
      <c r="BE315" s="129"/>
      <c r="BF315" s="129"/>
    </row>
    <row r="316" spans="2:58" ht="12">
      <c r="B316" s="21"/>
      <c r="C316" s="21"/>
      <c r="H316" s="21"/>
      <c r="U316" s="225"/>
      <c r="V316" s="210"/>
      <c r="W316" s="229"/>
      <c r="X316" s="210"/>
      <c r="Z316" s="225"/>
      <c r="AA316" s="229"/>
      <c r="AC316" s="122"/>
      <c r="AD316" s="122"/>
      <c r="BE316" s="129"/>
      <c r="BF316" s="129"/>
    </row>
    <row r="317" spans="2:58" ht="12">
      <c r="B317" s="21"/>
      <c r="C317" s="21"/>
      <c r="H317" s="21"/>
      <c r="U317" s="225"/>
      <c r="V317" s="210"/>
      <c r="W317" s="229"/>
      <c r="X317" s="210"/>
      <c r="Y317" s="210"/>
      <c r="Z317" s="246"/>
      <c r="AA317" s="246"/>
      <c r="AC317" s="122"/>
      <c r="AD317" s="122"/>
      <c r="BE317" s="129"/>
      <c r="BF317" s="129"/>
    </row>
    <row r="318" spans="2:58" ht="12">
      <c r="B318" s="21"/>
      <c r="C318" s="21"/>
      <c r="H318" s="21"/>
      <c r="S318" s="129" t="s">
        <v>34</v>
      </c>
      <c r="U318" s="225">
        <f>C35+0.01-xg*0</f>
        <v>2.7699999999999996</v>
      </c>
      <c r="V318" s="210">
        <f>C36+0.01-yg*0</f>
        <v>1.43</v>
      </c>
      <c r="W318" s="229"/>
      <c r="X318" s="210"/>
      <c r="Z318" s="225">
        <f>D35+0.01</f>
        <v>2.2699999999999996</v>
      </c>
      <c r="AA318" s="229">
        <f>D36+0.01</f>
        <v>0.83</v>
      </c>
      <c r="AC318" s="122"/>
      <c r="AD318" s="122"/>
      <c r="BE318" s="129"/>
      <c r="BF318" s="129"/>
    </row>
    <row r="319" spans="2:58" ht="12">
      <c r="B319" s="21"/>
      <c r="C319" s="21"/>
      <c r="H319" s="21"/>
      <c r="U319" s="225">
        <f>C35-0.01-xg*0</f>
        <v>2.75</v>
      </c>
      <c r="V319" s="210">
        <f>C36-0.01-yg*0</f>
        <v>1.41</v>
      </c>
      <c r="W319" s="229"/>
      <c r="X319" s="210"/>
      <c r="Z319" s="225">
        <f>D35-0.01</f>
        <v>2.25</v>
      </c>
      <c r="AA319" s="229">
        <f>D36-0.01</f>
        <v>0.8099999999999999</v>
      </c>
      <c r="AC319" s="122"/>
      <c r="AD319" s="122"/>
      <c r="BE319" s="129"/>
      <c r="BF319" s="129"/>
    </row>
    <row r="320" spans="2:58" ht="12">
      <c r="B320" s="21"/>
      <c r="C320" s="21"/>
      <c r="H320" s="21"/>
      <c r="U320" s="225"/>
      <c r="V320" s="210"/>
      <c r="W320" s="229"/>
      <c r="X320" s="210"/>
      <c r="Z320" s="225"/>
      <c r="AA320" s="229"/>
      <c r="AC320" s="122"/>
      <c r="AD320" s="122"/>
      <c r="BE320" s="129"/>
      <c r="BF320" s="129"/>
    </row>
    <row r="321" spans="2:58" ht="12">
      <c r="B321" s="21"/>
      <c r="C321" s="21"/>
      <c r="H321" s="21"/>
      <c r="S321" s="129" t="s">
        <v>35</v>
      </c>
      <c r="U321" s="225">
        <f>C35-0.01-xg*0</f>
        <v>2.75</v>
      </c>
      <c r="V321" s="210">
        <f>C36+0.01-yg*0</f>
        <v>1.43</v>
      </c>
      <c r="W321" s="229"/>
      <c r="X321" s="210"/>
      <c r="Z321" s="225">
        <f>D35-0.01</f>
        <v>2.25</v>
      </c>
      <c r="AA321" s="229">
        <f>D36+0.01</f>
        <v>0.83</v>
      </c>
      <c r="AC321" s="122"/>
      <c r="AD321" s="122"/>
      <c r="BE321" s="129"/>
      <c r="BF321" s="129"/>
    </row>
    <row r="322" spans="2:58" ht="12">
      <c r="B322" s="21"/>
      <c r="C322" s="21"/>
      <c r="H322" s="21"/>
      <c r="U322" s="225">
        <f>C35+0.01-xg*0</f>
        <v>2.7699999999999996</v>
      </c>
      <c r="V322" s="210">
        <f>C36-0.01-yg*0</f>
        <v>1.41</v>
      </c>
      <c r="W322" s="229"/>
      <c r="X322" s="210"/>
      <c r="Z322" s="225">
        <f>D35+0.01</f>
        <v>2.2699999999999996</v>
      </c>
      <c r="AA322" s="229">
        <f>D36-0.01</f>
        <v>0.8099999999999999</v>
      </c>
      <c r="AC322" s="122"/>
      <c r="AD322" s="122"/>
      <c r="BE322" s="129"/>
      <c r="BF322" s="129"/>
    </row>
    <row r="323" spans="2:58" ht="12">
      <c r="B323" s="21"/>
      <c r="C323" s="21"/>
      <c r="H323" s="21"/>
      <c r="U323" s="225"/>
      <c r="V323" s="210"/>
      <c r="W323" s="229"/>
      <c r="X323" s="210"/>
      <c r="Z323" s="225"/>
      <c r="AA323" s="229"/>
      <c r="AC323" s="122"/>
      <c r="AD323" s="122"/>
      <c r="BE323" s="129"/>
      <c r="BF323" s="129"/>
    </row>
    <row r="324" spans="2:58" ht="12">
      <c r="B324" s="21"/>
      <c r="C324" s="21"/>
      <c r="H324" s="21"/>
      <c r="S324" s="129" t="s">
        <v>18</v>
      </c>
      <c r="U324" s="118">
        <f>Z324*COS(phir)-AA324*SIN(phir)+xg</f>
        <v>0.6371375</v>
      </c>
      <c r="V324" s="122">
        <f>Z324*SIN(phir)+AA324*COS(phir)+yg</f>
        <v>1.2</v>
      </c>
      <c r="W324" s="120"/>
      <c r="Z324" s="225">
        <f>IF(AJ59="PT",AJ68,0)</f>
        <v>0.1371375</v>
      </c>
      <c r="AA324" s="229">
        <f>IF(AJ59="PT",AJ69,0)</f>
        <v>0.6</v>
      </c>
      <c r="AC324" s="122"/>
      <c r="AD324" s="122"/>
      <c r="BE324" s="129"/>
      <c r="BF324" s="129"/>
    </row>
    <row r="325" spans="2:58" ht="12">
      <c r="B325" s="21"/>
      <c r="C325" s="21"/>
      <c r="H325" s="21"/>
      <c r="U325" s="118">
        <f>Z325*COS(phir)-AA325*SIN(phir)+xg</f>
        <v>0.8733228900000001</v>
      </c>
      <c r="V325" s="122">
        <f>Z325*SIN(phir)+AA325*COS(phir)+yg</f>
        <v>0</v>
      </c>
      <c r="W325" s="120"/>
      <c r="Z325" s="225">
        <f>IF(AJ59="PT",AJ70,0)</f>
        <v>0.37332289</v>
      </c>
      <c r="AA325" s="229">
        <f>IF(AJ59="PT",AJ71,0)</f>
        <v>-0.6</v>
      </c>
      <c r="AC325" s="122"/>
      <c r="AD325" s="122"/>
      <c r="BE325" s="129"/>
      <c r="BF325" s="129"/>
    </row>
    <row r="326" spans="2:58" ht="12">
      <c r="B326" s="21"/>
      <c r="C326" s="21"/>
      <c r="H326" s="21"/>
      <c r="U326" s="225"/>
      <c r="V326" s="210"/>
      <c r="W326" s="229"/>
      <c r="X326" s="210"/>
      <c r="Z326" s="225"/>
      <c r="AA326" s="229"/>
      <c r="AC326" s="122"/>
      <c r="AD326" s="122"/>
      <c r="BE326" s="129"/>
      <c r="BF326" s="129"/>
    </row>
    <row r="327" spans="2:58" ht="12">
      <c r="B327" s="21"/>
      <c r="C327" s="21"/>
      <c r="H327" s="21"/>
      <c r="S327" s="129" t="s">
        <v>38</v>
      </c>
      <c r="U327" s="225">
        <f>xg</f>
        <v>0.5</v>
      </c>
      <c r="V327" s="210">
        <f>yg+0.02</f>
        <v>0.62</v>
      </c>
      <c r="W327" s="229"/>
      <c r="X327" s="210"/>
      <c r="Z327" s="225">
        <v>0</v>
      </c>
      <c r="AA327" s="229">
        <v>0.02</v>
      </c>
      <c r="AC327" s="122"/>
      <c r="AD327" s="122"/>
      <c r="BE327" s="129"/>
      <c r="BF327" s="129"/>
    </row>
    <row r="328" spans="2:58" ht="12">
      <c r="B328" s="21"/>
      <c r="C328" s="21"/>
      <c r="H328" s="21"/>
      <c r="U328" s="225">
        <f>xg</f>
        <v>0.5</v>
      </c>
      <c r="V328" s="210">
        <f>yg-0.02</f>
        <v>0.58</v>
      </c>
      <c r="W328" s="229"/>
      <c r="X328" s="210"/>
      <c r="Z328" s="225">
        <v>0</v>
      </c>
      <c r="AA328" s="229">
        <v>-0.02</v>
      </c>
      <c r="AC328" s="122"/>
      <c r="AD328" s="122"/>
      <c r="BE328" s="129"/>
      <c r="BF328" s="129"/>
    </row>
    <row r="329" spans="2:58" ht="12">
      <c r="B329" s="21"/>
      <c r="C329" s="21"/>
      <c r="H329" s="21"/>
      <c r="U329" s="225"/>
      <c r="V329" s="210"/>
      <c r="W329" s="229"/>
      <c r="X329" s="210"/>
      <c r="Z329" s="225"/>
      <c r="AA329" s="229"/>
      <c r="AC329" s="122"/>
      <c r="AD329" s="122"/>
      <c r="BE329" s="129"/>
      <c r="BF329" s="129"/>
    </row>
    <row r="330" spans="2:58" ht="12">
      <c r="B330" s="21"/>
      <c r="C330" s="21"/>
      <c r="H330" s="21"/>
      <c r="U330" s="225">
        <f>xg+0.02</f>
        <v>0.52</v>
      </c>
      <c r="V330" s="210">
        <f>yg</f>
        <v>0.6</v>
      </c>
      <c r="W330" s="229"/>
      <c r="X330" s="210"/>
      <c r="Z330" s="225">
        <v>0.02</v>
      </c>
      <c r="AA330" s="229">
        <v>0</v>
      </c>
      <c r="AC330" s="122"/>
      <c r="AD330" s="122"/>
      <c r="BE330" s="129"/>
      <c r="BF330" s="129"/>
    </row>
    <row r="331" spans="2:58" ht="12">
      <c r="B331" s="21"/>
      <c r="C331" s="21"/>
      <c r="H331" s="21"/>
      <c r="U331" s="225">
        <f>xg-0.02</f>
        <v>0.48</v>
      </c>
      <c r="V331" s="210">
        <f>yg</f>
        <v>0.6</v>
      </c>
      <c r="W331" s="229"/>
      <c r="X331" s="210"/>
      <c r="Z331" s="230">
        <v>-0.02</v>
      </c>
      <c r="AA331" s="247">
        <v>0</v>
      </c>
      <c r="AC331" s="122"/>
      <c r="AD331" s="122"/>
      <c r="BE331" s="129"/>
      <c r="BF331" s="129"/>
    </row>
    <row r="332" spans="2:58" ht="12">
      <c r="B332" s="21"/>
      <c r="C332" s="21"/>
      <c r="H332" s="21"/>
      <c r="R332" s="129" t="s">
        <v>249</v>
      </c>
      <c r="T332" s="210"/>
      <c r="U332" s="225"/>
      <c r="V332" s="210"/>
      <c r="W332" s="229"/>
      <c r="Z332" s="122"/>
      <c r="AA332" s="122"/>
      <c r="AB332" s="210"/>
      <c r="AC332" s="122"/>
      <c r="AD332" s="122"/>
      <c r="BE332" s="129"/>
      <c r="BF332" s="129"/>
    </row>
    <row r="333" spans="2:23" ht="12">
      <c r="B333" s="21"/>
      <c r="C333" s="21"/>
      <c r="H333" s="21"/>
      <c r="R333" s="301" t="s">
        <v>265</v>
      </c>
      <c r="S333" s="302"/>
      <c r="T333" s="156"/>
      <c r="U333" s="235">
        <f>S341</f>
        <v>0</v>
      </c>
      <c r="V333" s="297"/>
      <c r="W333" s="236">
        <f>S342</f>
        <v>0.6</v>
      </c>
    </row>
    <row r="334" spans="2:23" ht="12">
      <c r="B334" s="21"/>
      <c r="C334" s="21"/>
      <c r="H334" s="21"/>
      <c r="N334" s="20"/>
      <c r="O334" s="20"/>
      <c r="R334" s="303" t="s">
        <v>250</v>
      </c>
      <c r="S334" s="300">
        <f>MIN(BX,AX)</f>
        <v>0</v>
      </c>
      <c r="T334" s="129"/>
      <c r="U334" s="230">
        <f>S343</f>
        <v>1</v>
      </c>
      <c r="V334" s="298"/>
      <c r="W334" s="247">
        <f>S344</f>
        <v>0.6</v>
      </c>
    </row>
    <row r="335" spans="2:23" ht="12">
      <c r="B335" s="21"/>
      <c r="C335" s="21"/>
      <c r="H335" s="21"/>
      <c r="N335" s="20"/>
      <c r="O335" s="20"/>
      <c r="R335" s="303" t="s">
        <v>251</v>
      </c>
      <c r="S335" s="300">
        <f>MIN(BY,AY)</f>
        <v>0</v>
      </c>
      <c r="T335" s="129"/>
      <c r="U335" s="225"/>
      <c r="V335" s="210"/>
      <c r="W335" s="229"/>
    </row>
    <row r="336" spans="2:23" ht="12">
      <c r="B336" s="21"/>
      <c r="C336" s="21"/>
      <c r="H336" s="21"/>
      <c r="N336" s="20"/>
      <c r="O336" s="20"/>
      <c r="R336" s="303" t="s">
        <v>180</v>
      </c>
      <c r="S336" s="300">
        <f>MAX(BX,AX)</f>
        <v>1</v>
      </c>
      <c r="T336" s="129"/>
      <c r="U336" s="235">
        <f>S349</f>
        <v>0.5</v>
      </c>
      <c r="V336" s="297"/>
      <c r="W336" s="236">
        <f>S350</f>
        <v>0</v>
      </c>
    </row>
    <row r="337" spans="2:23" ht="12">
      <c r="B337" s="21"/>
      <c r="C337" s="21"/>
      <c r="H337" s="21"/>
      <c r="R337" s="303" t="s">
        <v>181</v>
      </c>
      <c r="S337" s="300">
        <f>MAX(BY,AY)</f>
        <v>1.2</v>
      </c>
      <c r="T337" s="129"/>
      <c r="U337" s="230">
        <f>S351</f>
        <v>0.5</v>
      </c>
      <c r="V337" s="298"/>
      <c r="W337" s="247">
        <f>S352</f>
        <v>1.2</v>
      </c>
    </row>
    <row r="338" spans="2:23" ht="12">
      <c r="B338" s="21"/>
      <c r="C338" s="21"/>
      <c r="H338" s="21"/>
      <c r="R338" s="304" t="s">
        <v>257</v>
      </c>
      <c r="S338" s="300">
        <f>SIN(phir)</f>
        <v>0</v>
      </c>
      <c r="T338" s="158"/>
      <c r="U338" s="210"/>
      <c r="V338" s="210"/>
      <c r="W338" s="210"/>
    </row>
    <row r="339" spans="2:23" ht="12">
      <c r="B339" s="21"/>
      <c r="C339" s="21"/>
      <c r="H339" s="21"/>
      <c r="R339" s="304" t="s">
        <v>258</v>
      </c>
      <c r="S339" s="300">
        <f>-COS(phir)</f>
        <v>-1</v>
      </c>
      <c r="T339" s="158"/>
      <c r="U339"/>
      <c r="V339"/>
      <c r="W339"/>
    </row>
    <row r="340" spans="2:23" ht="12">
      <c r="B340" s="21"/>
      <c r="C340" s="21"/>
      <c r="H340" s="21"/>
      <c r="R340" s="304" t="s">
        <v>259</v>
      </c>
      <c r="S340" s="300">
        <f>yg*COS(phir)-xg*SIN(phir)</f>
        <v>0.6</v>
      </c>
      <c r="T340" s="158"/>
      <c r="U340"/>
      <c r="V340"/>
      <c r="W340"/>
    </row>
    <row r="341" spans="2:23" ht="12">
      <c r="B341" s="21"/>
      <c r="C341" s="21"/>
      <c r="H341" s="21"/>
      <c r="R341" s="304" t="s">
        <v>253</v>
      </c>
      <c r="S341" s="300">
        <f>interr(S$334,S$335,S$336,S$337,S$338,S$339,S$340,1)</f>
        <v>0</v>
      </c>
      <c r="T341" s="158" t="s">
        <v>263</v>
      </c>
      <c r="U341"/>
      <c r="V341"/>
      <c r="W341"/>
    </row>
    <row r="342" spans="2:23" ht="12">
      <c r="B342" s="21"/>
      <c r="C342" s="21"/>
      <c r="H342" s="21"/>
      <c r="R342" s="304" t="s">
        <v>254</v>
      </c>
      <c r="S342" s="300">
        <f>interr(S$334,S$335,S$336,S$337,S$338,S$339,S$340,2)</f>
        <v>0.6</v>
      </c>
      <c r="T342" s="158" t="s">
        <v>263</v>
      </c>
      <c r="U342"/>
      <c r="V342"/>
      <c r="W342"/>
    </row>
    <row r="343" spans="2:23" ht="12">
      <c r="B343" s="21"/>
      <c r="C343" s="21"/>
      <c r="H343" s="21"/>
      <c r="R343" s="304" t="s">
        <v>255</v>
      </c>
      <c r="S343" s="300">
        <f>interr(S$334,S$335,S$336,S$337,S$338,S$339,S$340,3)</f>
        <v>1</v>
      </c>
      <c r="T343" s="158" t="s">
        <v>263</v>
      </c>
      <c r="U343"/>
      <c r="V343"/>
      <c r="W343"/>
    </row>
    <row r="344" spans="2:21" ht="12">
      <c r="B344" s="21"/>
      <c r="C344" s="21"/>
      <c r="H344" s="21"/>
      <c r="R344" s="304" t="s">
        <v>256</v>
      </c>
      <c r="S344" s="300">
        <f>interr(S$334,S$335,S$336,S$337,S$338,S$339,S$340,4)</f>
        <v>0.6</v>
      </c>
      <c r="T344" s="158" t="s">
        <v>263</v>
      </c>
      <c r="U344" s="210"/>
    </row>
    <row r="345" spans="2:20" ht="12">
      <c r="B345" s="21"/>
      <c r="C345" s="21"/>
      <c r="H345" s="21"/>
      <c r="R345" s="304"/>
      <c r="T345" s="158"/>
    </row>
    <row r="346" spans="2:20" ht="12">
      <c r="B346" s="21"/>
      <c r="C346" s="21"/>
      <c r="H346" s="21"/>
      <c r="R346" s="304" t="s">
        <v>260</v>
      </c>
      <c r="S346" s="300">
        <f>COS(phir)</f>
        <v>1</v>
      </c>
      <c r="T346" s="158"/>
    </row>
    <row r="347" spans="2:20" ht="12">
      <c r="B347" s="21"/>
      <c r="C347" s="21"/>
      <c r="H347" s="21"/>
      <c r="R347" s="304" t="s">
        <v>261</v>
      </c>
      <c r="S347" s="300">
        <f>SIN(phir)</f>
        <v>0</v>
      </c>
      <c r="T347" s="158"/>
    </row>
    <row r="348" spans="2:20" ht="12">
      <c r="B348" s="21"/>
      <c r="C348" s="21"/>
      <c r="H348" s="21"/>
      <c r="R348" s="304" t="s">
        <v>262</v>
      </c>
      <c r="S348" s="300">
        <f>-xg*COS(phir)-yg*SIN(phir)</f>
        <v>-0.5</v>
      </c>
      <c r="T348" s="158"/>
    </row>
    <row r="349" spans="2:20" ht="12">
      <c r="B349" s="21"/>
      <c r="C349" s="21"/>
      <c r="H349" s="21"/>
      <c r="R349" s="304" t="s">
        <v>253</v>
      </c>
      <c r="S349" s="300">
        <f>interr(S$334,S$335,S$336,S$337,S$346,S$347,S$348,1)</f>
        <v>0.5</v>
      </c>
      <c r="T349" s="158" t="s">
        <v>264</v>
      </c>
    </row>
    <row r="350" spans="2:20" ht="12">
      <c r="B350" s="21"/>
      <c r="C350" s="21"/>
      <c r="H350" s="21"/>
      <c r="R350" s="304" t="s">
        <v>254</v>
      </c>
      <c r="S350" s="300">
        <f>interr(S$334,S$335,S$336,S$337,S$346,S$347,S$348,2)</f>
        <v>0</v>
      </c>
      <c r="T350" s="158" t="s">
        <v>264</v>
      </c>
    </row>
    <row r="351" spans="2:20" ht="12">
      <c r="B351" s="21"/>
      <c r="C351" s="21"/>
      <c r="H351" s="21"/>
      <c r="R351" s="304" t="s">
        <v>255</v>
      </c>
      <c r="S351" s="300">
        <f>interr(S$334,S$335,S$336,S$337,S$346,S$347,S$348,3)</f>
        <v>0.5</v>
      </c>
      <c r="T351" s="158" t="s">
        <v>264</v>
      </c>
    </row>
    <row r="352" spans="2:20" ht="12">
      <c r="B352" s="21"/>
      <c r="C352" s="21"/>
      <c r="H352" s="21"/>
      <c r="R352" s="305" t="s">
        <v>256</v>
      </c>
      <c r="S352" s="306">
        <f>interr(S$334,S$335,S$336,S$337,S$346,S$347,S$348,4)</f>
        <v>1.2</v>
      </c>
      <c r="T352" s="162" t="s">
        <v>264</v>
      </c>
    </row>
    <row r="353" spans="2:8" ht="12">
      <c r="B353" s="21"/>
      <c r="C353" s="21"/>
      <c r="H353" s="21"/>
    </row>
    <row r="354" spans="2:8" ht="12">
      <c r="B354" s="21"/>
      <c r="C354" s="21"/>
      <c r="H354" s="21"/>
    </row>
    <row r="355" spans="2:8" ht="12">
      <c r="B355" s="21"/>
      <c r="C355" s="21"/>
      <c r="H355" s="21"/>
    </row>
    <row r="356" spans="2:8" ht="12">
      <c r="B356" s="21"/>
      <c r="C356" s="21"/>
      <c r="H356" s="21"/>
    </row>
    <row r="357" spans="2:8" ht="12">
      <c r="B357" s="21"/>
      <c r="C357" s="21"/>
      <c r="H357" s="21"/>
    </row>
    <row r="358" spans="2:8" ht="12">
      <c r="B358" s="21"/>
      <c r="C358" s="21"/>
      <c r="H358" s="21"/>
    </row>
    <row r="359" spans="2:8" ht="12">
      <c r="B359" s="21"/>
      <c r="C359" s="21"/>
      <c r="H359" s="21"/>
    </row>
    <row r="360" spans="2:8" ht="12">
      <c r="B360" s="21"/>
      <c r="C360" s="21"/>
      <c r="H360" s="21"/>
    </row>
    <row r="361" spans="2:8" ht="12">
      <c r="B361" s="21"/>
      <c r="C361" s="21"/>
      <c r="H361" s="21"/>
    </row>
    <row r="362" spans="2:8" ht="12">
      <c r="B362" s="21"/>
      <c r="C362" s="21"/>
      <c r="H362" s="21"/>
    </row>
    <row r="363" spans="2:8" ht="12">
      <c r="B363" s="21"/>
      <c r="C363" s="21"/>
      <c r="H363" s="21"/>
    </row>
    <row r="364" spans="2:8" ht="12">
      <c r="B364" s="21"/>
      <c r="C364" s="21"/>
      <c r="H364" s="21"/>
    </row>
    <row r="365" spans="2:8" ht="12">
      <c r="B365" s="21"/>
      <c r="C365" s="21"/>
      <c r="H365" s="21"/>
    </row>
    <row r="366" spans="2:8" ht="12">
      <c r="B366" s="21"/>
      <c r="C366" s="21"/>
      <c r="H366" s="21"/>
    </row>
    <row r="367" spans="2:8" ht="12">
      <c r="B367" s="21"/>
      <c r="C367" s="21"/>
      <c r="H367" s="21"/>
    </row>
    <row r="368" spans="2:8" ht="12">
      <c r="B368" s="21"/>
      <c r="C368" s="21"/>
      <c r="H368" s="21"/>
    </row>
    <row r="369" spans="2:8" ht="12">
      <c r="B369" s="21"/>
      <c r="C369" s="21"/>
      <c r="H369" s="21"/>
    </row>
    <row r="370" spans="2:8" ht="12">
      <c r="B370" s="21"/>
      <c r="C370" s="21"/>
      <c r="H370" s="21"/>
    </row>
    <row r="371" spans="2:8" ht="12">
      <c r="B371" s="21"/>
      <c r="C371" s="21"/>
      <c r="H371" s="21"/>
    </row>
    <row r="372" spans="2:8" ht="12">
      <c r="B372" s="21"/>
      <c r="C372" s="21"/>
      <c r="H372" s="21"/>
    </row>
    <row r="373" spans="2:8" ht="12">
      <c r="B373" s="21"/>
      <c r="C373" s="21"/>
      <c r="H373" s="21"/>
    </row>
    <row r="374" spans="2:8" ht="12">
      <c r="B374" s="21"/>
      <c r="C374" s="21"/>
      <c r="H374" s="21"/>
    </row>
    <row r="375" spans="2:8" ht="12">
      <c r="B375" s="21"/>
      <c r="C375" s="21"/>
      <c r="H375" s="21"/>
    </row>
    <row r="376" spans="2:8" ht="12">
      <c r="B376" s="21"/>
      <c r="C376" s="21"/>
      <c r="H376" s="21"/>
    </row>
    <row r="377" spans="2:8" ht="12">
      <c r="B377" s="21"/>
      <c r="C377" s="21"/>
      <c r="H377" s="21"/>
    </row>
    <row r="378" spans="2:8" ht="12">
      <c r="B378" s="21"/>
      <c r="C378" s="21"/>
      <c r="H378" s="21"/>
    </row>
    <row r="379" spans="2:8" ht="12">
      <c r="B379" s="21"/>
      <c r="C379" s="21"/>
      <c r="H379" s="21"/>
    </row>
    <row r="380" spans="2:8" ht="12">
      <c r="B380" s="21"/>
      <c r="C380" s="21"/>
      <c r="H380" s="21"/>
    </row>
    <row r="381" spans="2:8" ht="12">
      <c r="B381" s="21"/>
      <c r="C381" s="21"/>
      <c r="H381" s="21"/>
    </row>
    <row r="382" spans="2:8" ht="12">
      <c r="B382" s="21"/>
      <c r="C382" s="21"/>
      <c r="H382" s="21"/>
    </row>
    <row r="383" spans="42:43" ht="12">
      <c r="AP383" s="132"/>
      <c r="AQ383" s="132"/>
    </row>
    <row r="384" spans="42:43" ht="12">
      <c r="AP384" s="132"/>
      <c r="AQ384" s="132"/>
    </row>
    <row r="385" spans="42:43" ht="12">
      <c r="AP385" s="132"/>
      <c r="AQ385" s="132"/>
    </row>
    <row r="386" spans="42:43" ht="12">
      <c r="AP386" s="132"/>
      <c r="AQ386" s="132"/>
    </row>
    <row r="387" spans="42:43" ht="12">
      <c r="AP387" s="132"/>
      <c r="AQ387" s="132"/>
    </row>
  </sheetData>
  <sheetProtection password="DE57" sheet="1" objects="1" scenarios="1" selectLockedCells="1"/>
  <mergeCells count="2">
    <mergeCell ref="L6:M6"/>
    <mergeCell ref="B1:I1"/>
  </mergeCells>
  <dataValidations count="5">
    <dataValidation type="list" allowBlank="1" showInputMessage="1" showErrorMessage="1" sqref="I22">
      <formula1>$Q$7:$Q$10</formula1>
    </dataValidation>
    <dataValidation type="whole" allowBlank="1" showInputMessage="1" showErrorMessage="1" sqref="C9:C10">
      <formula1>3</formula1>
      <formula2>32</formula2>
    </dataValidation>
    <dataValidation type="whole" allowBlank="1" showInputMessage="1" showErrorMessage="1" sqref="C8">
      <formula1>3</formula1>
      <formula2>16</formula2>
    </dataValidation>
    <dataValidation type="list" allowBlank="1" showInputMessage="1" showErrorMessage="1" sqref="C16">
      <formula1>$Y$38:$Y$51</formula1>
    </dataValidation>
    <dataValidation type="whole" allowBlank="1" showInputMessage="1" showErrorMessage="1" sqref="C17">
      <formula1>400</formula1>
      <formula2>600</formula2>
    </dataValidation>
  </dataValidations>
  <printOptions/>
  <pageMargins left="0.5905511811023623" right="0.5905511811023623" top="0.5905511811023623" bottom="0.5905511811023623" header="0.5118110236220472" footer="0.5118110236220472"/>
  <pageSetup orientation="portrait" paperSize="9" scale="65" r:id="rId4"/>
  <rowBreaks count="1" manualBreakCount="1">
    <brk id="77" max="255" man="1"/>
  </rowBreaks>
  <colBreaks count="3" manualBreakCount="3">
    <brk id="16" max="65535" man="1"/>
    <brk id="17" max="65535" man="1"/>
    <brk id="44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K38"/>
  <sheetViews>
    <sheetView showGridLines="0" workbookViewId="0" topLeftCell="A1">
      <selection activeCell="A1" sqref="A1"/>
      <selection activeCell="A1" sqref="A1"/>
      <selection activeCell="E7" sqref="E7"/>
    </sheetView>
  </sheetViews>
  <sheetFormatPr defaultColWidth="11.421875" defaultRowHeight="12"/>
  <cols>
    <col min="1" max="1" width="4.00390625" style="1" customWidth="1"/>
    <col min="2" max="16384" width="12.00390625" style="1" customWidth="1"/>
  </cols>
  <sheetData>
    <row r="1" spans="2:11" ht="13.5" thickBot="1">
      <c r="B1" s="324" t="s">
        <v>275</v>
      </c>
      <c r="C1" s="324"/>
      <c r="D1" s="324"/>
      <c r="E1" s="324"/>
      <c r="F1" s="324"/>
      <c r="G1" s="324"/>
      <c r="H1" s="324"/>
      <c r="I1" s="324"/>
      <c r="K1" s="325" t="s">
        <v>276</v>
      </c>
    </row>
    <row r="2" spans="1:11" ht="12.75">
      <c r="A2" s="6" t="s">
        <v>142</v>
      </c>
      <c r="I2" s="2"/>
      <c r="K2" s="325" t="s">
        <v>233</v>
      </c>
    </row>
    <row r="3" spans="1:11" ht="12.75">
      <c r="A3" s="6"/>
      <c r="I3" s="16"/>
      <c r="K3" s="325" t="s">
        <v>234</v>
      </c>
    </row>
    <row r="4" spans="1:11" ht="12.75">
      <c r="A4" s="6" t="s">
        <v>125</v>
      </c>
      <c r="G4" s="16"/>
      <c r="K4" s="325" t="s">
        <v>235</v>
      </c>
    </row>
    <row r="5" spans="7:11" ht="12.75">
      <c r="G5" s="16"/>
      <c r="K5" s="325" t="s">
        <v>236</v>
      </c>
    </row>
    <row r="6" spans="1:7" ht="12">
      <c r="A6" s="2">
        <v>1</v>
      </c>
      <c r="B6" s="1" t="s">
        <v>141</v>
      </c>
      <c r="G6" s="16"/>
    </row>
    <row r="7" ht="12">
      <c r="A7" s="2"/>
    </row>
    <row r="8" spans="1:2" ht="12">
      <c r="A8" s="2">
        <v>2</v>
      </c>
      <c r="B8" s="1" t="s">
        <v>129</v>
      </c>
    </row>
    <row r="9" spans="1:2" ht="12">
      <c r="A9" s="2"/>
      <c r="B9" s="2"/>
    </row>
    <row r="10" spans="1:2" ht="12">
      <c r="A10" s="2">
        <v>3</v>
      </c>
      <c r="B10" s="1" t="s">
        <v>132</v>
      </c>
    </row>
    <row r="11" ht="12">
      <c r="A11" s="2"/>
    </row>
    <row r="12" spans="1:2" ht="12">
      <c r="A12" s="2">
        <v>4</v>
      </c>
      <c r="B12" s="1" t="s">
        <v>133</v>
      </c>
    </row>
    <row r="13" spans="1:2" ht="12">
      <c r="A13" s="2"/>
      <c r="B13" s="1" t="s">
        <v>130</v>
      </c>
    </row>
    <row r="14" ht="12">
      <c r="A14" s="2"/>
    </row>
    <row r="15" spans="1:9" ht="13.5">
      <c r="A15" s="2">
        <v>5</v>
      </c>
      <c r="B15" s="1" t="s">
        <v>131</v>
      </c>
      <c r="I15" s="1" t="str">
        <f>"Ici : n = "&amp;ROUND(neq,2)</f>
        <v>Ici : n = 15</v>
      </c>
    </row>
    <row r="16" spans="1:2" ht="12">
      <c r="A16" s="2"/>
      <c r="B16" s="1" t="str">
        <f>"(En ELU, la section nette est derminée avec le coefficient d'équivalence : "&amp;ROUND(neq,2)&amp;" )"</f>
        <v>(En ELU, la section nette est derminée avec le coefficient d'équivalence : 15 )</v>
      </c>
    </row>
    <row r="17" ht="12">
      <c r="A17" s="2"/>
    </row>
    <row r="18" spans="1:2" ht="13.5">
      <c r="A18" s="2">
        <v>6</v>
      </c>
      <c r="B18" s="1" t="s">
        <v>134</v>
      </c>
    </row>
    <row r="19" spans="1:2" ht="13.5">
      <c r="A19" s="2"/>
      <c r="B19" s="1" t="s">
        <v>54</v>
      </c>
    </row>
    <row r="20" spans="1:2" ht="13.5">
      <c r="A20" s="2"/>
      <c r="B20" s="1" t="s">
        <v>65</v>
      </c>
    </row>
    <row r="21" ht="12">
      <c r="A21" s="2"/>
    </row>
    <row r="22" spans="1:2" ht="12">
      <c r="A22" s="2">
        <v>7</v>
      </c>
      <c r="B22" s="1" t="s">
        <v>123</v>
      </c>
    </row>
    <row r="23" spans="1:2" ht="12">
      <c r="A23" s="2"/>
      <c r="B23" s="1" t="s">
        <v>55</v>
      </c>
    </row>
    <row r="24" ht="12">
      <c r="A24" s="2"/>
    </row>
    <row r="25" spans="1:7" ht="13.5">
      <c r="A25" s="2">
        <v>8</v>
      </c>
      <c r="B25" s="114" t="s">
        <v>228</v>
      </c>
      <c r="D25" s="1" t="s">
        <v>230</v>
      </c>
      <c r="G25" s="1" t="s">
        <v>97</v>
      </c>
    </row>
    <row r="26" spans="1:4" ht="13.5">
      <c r="A26" s="2"/>
      <c r="B26" s="114" t="s">
        <v>229</v>
      </c>
      <c r="D26" s="1" t="s">
        <v>231</v>
      </c>
    </row>
    <row r="27" ht="12">
      <c r="A27" s="2"/>
    </row>
    <row r="28" spans="1:2" ht="12">
      <c r="A28" s="2">
        <v>9</v>
      </c>
      <c r="B28" s="1" t="s">
        <v>103</v>
      </c>
    </row>
    <row r="29" spans="1:2" ht="12">
      <c r="A29" s="2"/>
      <c r="B29" s="1" t="s">
        <v>224</v>
      </c>
    </row>
    <row r="30" ht="12">
      <c r="A30" s="2"/>
    </row>
    <row r="31" spans="1:2" ht="13.5">
      <c r="A31" s="2">
        <v>10</v>
      </c>
      <c r="B31" s="1" t="s">
        <v>225</v>
      </c>
    </row>
    <row r="32" spans="1:2" ht="13.5">
      <c r="A32" s="2"/>
      <c r="B32" s="1" t="s">
        <v>226</v>
      </c>
    </row>
    <row r="33" ht="12">
      <c r="A33" s="2"/>
    </row>
    <row r="34" spans="1:2" ht="13.5">
      <c r="A34" s="2">
        <v>11</v>
      </c>
      <c r="B34" s="1" t="s">
        <v>0</v>
      </c>
    </row>
    <row r="35" spans="1:2" ht="13.5">
      <c r="A35" s="2"/>
      <c r="B35" s="1" t="s">
        <v>1</v>
      </c>
    </row>
    <row r="36" ht="12">
      <c r="A36" s="2"/>
    </row>
    <row r="37" spans="1:2" ht="12">
      <c r="A37" s="1">
        <v>12</v>
      </c>
      <c r="B37" s="1" t="s">
        <v>94</v>
      </c>
    </row>
    <row r="38" ht="12">
      <c r="B38" s="1" t="s">
        <v>95</v>
      </c>
    </row>
  </sheetData>
  <sheetProtection password="DE57" sheet="1" objects="1" scenarios="1" selectLockedCells="1"/>
  <mergeCells count="1">
    <mergeCell ref="B1:I1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Thonier</dc:creator>
  <cp:keywords/>
  <dc:description/>
  <cp:lastModifiedBy>Henry</cp:lastModifiedBy>
  <cp:lastPrinted>2004-07-23T15:19:15Z</cp:lastPrinted>
  <dcterms:created xsi:type="dcterms:W3CDTF">2003-08-21T11:20:05Z</dcterms:created>
  <dcterms:modified xsi:type="dcterms:W3CDTF">2021-10-07T15:51:31Z</dcterms:modified>
  <cp:category/>
  <cp:version/>
  <cp:contentType/>
  <cp:contentStatus/>
</cp:coreProperties>
</file>