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3320" windowHeight="10545" activeTab="0"/>
  </bookViews>
  <sheets>
    <sheet name="Feuil1" sheetId="1" r:id="rId1"/>
  </sheets>
  <definedNames>
    <definedName name="GK">'Feuil1'!$Q$55</definedName>
    <definedName name="k">'Feuil1'!$B$4</definedName>
    <definedName name="tabfck">'Feuil1'!$W$4:$AD$17</definedName>
    <definedName name="tabr">'Feuil1'!$W$31:$Y$51</definedName>
    <definedName name="tabrec">'Feuil1'!$W$31:$Y$51</definedName>
    <definedName name="_xlnm.Print_Area" localSheetId="0">'Feuil1'!$A$1:$M$67</definedName>
  </definedNames>
  <calcPr calcMode="manual" fullCalcOnLoad="1" iterate="1" iterateCount="10" iterateDelta="0.001"/>
</workbook>
</file>

<file path=xl/comments1.xml><?xml version="1.0" encoding="utf-8"?>
<comments xmlns="http://schemas.openxmlformats.org/spreadsheetml/2006/main">
  <authors>
    <author>mactho1</author>
    <author>Henry</author>
  </authors>
  <commentList>
    <comment ref="D27" authorId="0">
      <text>
        <r>
          <rPr>
            <b/>
            <sz val="9"/>
            <rFont val="Tahoma"/>
            <family val="0"/>
          </rPr>
          <t xml:space="preserve">Les RP admettent de prendre </t>
        </r>
        <r>
          <rPr>
            <b/>
            <sz val="9"/>
            <rFont val="Symbol"/>
            <family val="1"/>
          </rPr>
          <t>F</t>
        </r>
        <r>
          <rPr>
            <b/>
            <sz val="9"/>
            <rFont val="Tahoma"/>
            <family val="0"/>
          </rPr>
          <t xml:space="preserve"> = 2 (§ 7.4.3 (7))</t>
        </r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Cependant le programme propose une valeur calculée</t>
        </r>
      </text>
    </comment>
    <comment ref="Q55" authorId="0">
      <text>
        <r>
          <rPr>
            <b/>
            <sz val="9"/>
            <rFont val="Tahoma"/>
            <family val="0"/>
          </rPr>
          <t>coefficient multiplicateur des flèches obtenues par M.L</t>
        </r>
        <r>
          <rPr>
            <b/>
            <vertAlign val="superscript"/>
            <sz val="9"/>
            <rFont val="Tahoma"/>
            <family val="2"/>
          </rPr>
          <t>2</t>
        </r>
        <r>
          <rPr>
            <b/>
            <sz val="9"/>
            <rFont val="Tahoma"/>
            <family val="0"/>
          </rPr>
          <t>/10</t>
        </r>
        <r>
          <rPr>
            <sz val="9"/>
            <rFont val="Tahoma"/>
            <family val="0"/>
          </rPr>
          <t xml:space="preserve">
</t>
        </r>
      </text>
    </comment>
    <comment ref="B37" authorId="0">
      <text>
        <r>
          <rPr>
            <b/>
            <sz val="9"/>
            <rFont val="Tahoma"/>
            <family val="0"/>
          </rPr>
          <t xml:space="preserve">poids propre de la dalle  + action de la précontrainte éventuelle supposée centrée aux extrémités de la dalle
</t>
        </r>
      </text>
    </comment>
    <comment ref="D4" authorId="0">
      <text>
        <r>
          <rPr>
            <b/>
            <sz val="9"/>
            <rFont val="Tahoma"/>
            <family val="0"/>
          </rPr>
          <t>Les dalles portant dans deux directions sont supposées articulées sur leurs 4 côtés.
Les dalles portant dans une direction ou les poutres peuvent être partiellement encastrées aux extrémités.</t>
        </r>
      </text>
    </comment>
    <comment ref="I39" authorId="0">
      <text>
        <r>
          <rPr>
            <b/>
            <sz val="9"/>
            <rFont val="Tahoma"/>
            <family val="0"/>
          </rPr>
          <t>amplitude minimale de variation du tracé du câble</t>
        </r>
        <r>
          <rPr>
            <sz val="9"/>
            <rFont val="Tahoma"/>
            <family val="0"/>
          </rPr>
          <t xml:space="preserve">
</t>
        </r>
      </text>
    </comment>
    <comment ref="J16" authorId="1">
      <text>
        <r>
          <rPr>
            <b/>
            <sz val="8"/>
            <rFont val="Tahoma"/>
            <family val="0"/>
          </rPr>
          <t>L'EC2 propose 50% en intérieur et 80% en extérieur (Fig. 3.1)</t>
        </r>
      </text>
    </comment>
    <comment ref="D28" authorId="0">
      <text>
        <r>
          <rPr>
            <b/>
            <sz val="9"/>
            <rFont val="Tahoma"/>
            <family val="2"/>
          </rPr>
          <t xml:space="preserve">Le programme propose une valeur calculée
</t>
        </r>
      </text>
    </comment>
    <comment ref="C29" authorId="1">
      <text>
        <r>
          <rPr>
            <b/>
            <sz val="9"/>
            <rFont val="Tahoma"/>
            <family val="0"/>
          </rPr>
          <t>Il est possible de prendre f</t>
        </r>
        <r>
          <rPr>
            <b/>
            <vertAlign val="subscript"/>
            <sz val="9"/>
            <rFont val="Tahoma"/>
            <family val="2"/>
          </rPr>
          <t>ctm,fl</t>
        </r>
        <r>
          <rPr>
            <b/>
            <sz val="9"/>
            <rFont val="Tahoma"/>
            <family val="0"/>
          </rPr>
          <t xml:space="preserve"> de l'art. 3.1.8 de l'EC2 si h &lt; 0,6 m à condition de s'assurer que les sections d'armatures minimales vérifient les conditions des  §7.3.2 et § 9.2.1.1 avec f</t>
        </r>
        <r>
          <rPr>
            <b/>
            <vertAlign val="subscript"/>
            <sz val="9"/>
            <rFont val="Tahoma"/>
            <family val="2"/>
          </rPr>
          <t>ctm,fl</t>
        </r>
      </text>
    </comment>
  </commentList>
</comments>
</file>

<file path=xl/sharedStrings.xml><?xml version="1.0" encoding="utf-8"?>
<sst xmlns="http://schemas.openxmlformats.org/spreadsheetml/2006/main" count="255" uniqueCount="188">
  <si>
    <t>b</t>
  </si>
  <si>
    <t>h</t>
  </si>
  <si>
    <t>L</t>
  </si>
  <si>
    <t>p</t>
  </si>
  <si>
    <t>c</t>
  </si>
  <si>
    <t>r</t>
  </si>
  <si>
    <t>q</t>
  </si>
  <si>
    <t>kN/m</t>
  </si>
  <si>
    <t>m</t>
  </si>
  <si>
    <t>fck</t>
  </si>
  <si>
    <t>MPa</t>
  </si>
  <si>
    <t>fctm</t>
  </si>
  <si>
    <t>Ecm</t>
  </si>
  <si>
    <t>ecu1</t>
  </si>
  <si>
    <t>ec1</t>
  </si>
  <si>
    <t>ecu2</t>
  </si>
  <si>
    <t>ec2</t>
  </si>
  <si>
    <t>n</t>
  </si>
  <si>
    <t>GPa</t>
  </si>
  <si>
    <t>F</t>
  </si>
  <si>
    <r>
      <t>E</t>
    </r>
    <r>
      <rPr>
        <vertAlign val="subscript"/>
        <sz val="9"/>
        <rFont val="Arial"/>
        <family val="2"/>
      </rPr>
      <t>cm</t>
    </r>
  </si>
  <si>
    <r>
      <t>M</t>
    </r>
    <r>
      <rPr>
        <vertAlign val="subscript"/>
        <sz val="9"/>
        <rFont val="Arial"/>
        <family val="2"/>
      </rPr>
      <t>t</t>
    </r>
  </si>
  <si>
    <t>kNm</t>
  </si>
  <si>
    <r>
      <t>E</t>
    </r>
    <r>
      <rPr>
        <vertAlign val="subscript"/>
        <sz val="9"/>
        <rFont val="Arial"/>
        <family val="2"/>
      </rPr>
      <t>v</t>
    </r>
  </si>
  <si>
    <r>
      <t>E</t>
    </r>
    <r>
      <rPr>
        <vertAlign val="subscript"/>
        <sz val="9"/>
        <rFont val="Arial"/>
        <family val="2"/>
      </rPr>
      <t>i</t>
    </r>
  </si>
  <si>
    <r>
      <t>f</t>
    </r>
    <r>
      <rPr>
        <vertAlign val="subscript"/>
        <sz val="9"/>
        <rFont val="Arial"/>
        <family val="2"/>
      </rPr>
      <t>ck</t>
    </r>
  </si>
  <si>
    <t>charge</t>
  </si>
  <si>
    <t>kNm/m</t>
  </si>
  <si>
    <t>charge de poids propre</t>
  </si>
  <si>
    <t>charge permanente après mise en œuvre des éléments fragiles</t>
  </si>
  <si>
    <t>charge d'exploitation</t>
  </si>
  <si>
    <t>poids des éléments fragiles</t>
  </si>
  <si>
    <r>
      <t>s</t>
    </r>
    <r>
      <rPr>
        <vertAlign val="subscript"/>
        <sz val="9"/>
        <rFont val="Arial"/>
        <family val="2"/>
      </rPr>
      <t>0</t>
    </r>
  </si>
  <si>
    <r>
      <t>M</t>
    </r>
    <r>
      <rPr>
        <vertAlign val="subscript"/>
        <sz val="9"/>
        <rFont val="Arial"/>
        <family val="2"/>
      </rPr>
      <t>cr</t>
    </r>
  </si>
  <si>
    <t>S</t>
  </si>
  <si>
    <t>h/2</t>
  </si>
  <si>
    <t>2h/3</t>
  </si>
  <si>
    <t>v</t>
  </si>
  <si>
    <t>v'</t>
  </si>
  <si>
    <r>
      <t>b</t>
    </r>
    <r>
      <rPr>
        <vertAlign val="subscript"/>
        <sz val="9"/>
        <rFont val="Arial"/>
        <family val="2"/>
      </rPr>
      <t>w</t>
    </r>
  </si>
  <si>
    <r>
      <t>h</t>
    </r>
    <r>
      <rPr>
        <vertAlign val="subscript"/>
        <sz val="9"/>
        <rFont val="Arial"/>
        <family val="2"/>
      </rPr>
      <t>f</t>
    </r>
  </si>
  <si>
    <t>hauteur totale</t>
  </si>
  <si>
    <r>
      <t>cm</t>
    </r>
    <r>
      <rPr>
        <vertAlign val="superscript"/>
        <sz val="9"/>
        <rFont val="Arial"/>
        <family val="2"/>
      </rPr>
      <t>2</t>
    </r>
  </si>
  <si>
    <r>
      <t>A</t>
    </r>
    <r>
      <rPr>
        <vertAlign val="subscript"/>
        <sz val="9"/>
        <rFont val="Arial"/>
        <family val="2"/>
      </rPr>
      <t>s</t>
    </r>
  </si>
  <si>
    <r>
      <t>Eh</t>
    </r>
    <r>
      <rPr>
        <vertAlign val="superscript"/>
        <sz val="9"/>
        <rFont val="Arial"/>
        <family val="2"/>
      </rPr>
      <t>3</t>
    </r>
    <r>
      <rPr>
        <sz val="9"/>
        <rFont val="Arial"/>
        <family val="0"/>
      </rPr>
      <t>f/(p.L</t>
    </r>
    <r>
      <rPr>
        <vertAlign val="superscript"/>
        <sz val="9"/>
        <rFont val="Arial"/>
        <family val="2"/>
      </rPr>
      <t>4</t>
    </r>
    <r>
      <rPr>
        <sz val="9"/>
        <rFont val="Arial"/>
        <family val="0"/>
      </rPr>
      <t>)</t>
    </r>
  </si>
  <si>
    <r>
      <t>M</t>
    </r>
    <r>
      <rPr>
        <vertAlign val="subscript"/>
        <sz val="9"/>
        <rFont val="Arial"/>
        <family val="2"/>
      </rPr>
      <t>x</t>
    </r>
    <r>
      <rPr>
        <sz val="9"/>
        <rFont val="Arial"/>
        <family val="0"/>
      </rPr>
      <t>/(p.L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</t>
    </r>
  </si>
  <si>
    <r>
      <t>L</t>
    </r>
    <r>
      <rPr>
        <vertAlign val="subscript"/>
        <sz val="9"/>
        <rFont val="Arial"/>
        <family val="2"/>
      </rPr>
      <t>x</t>
    </r>
    <r>
      <rPr>
        <sz val="9"/>
        <rFont val="Arial"/>
        <family val="0"/>
      </rPr>
      <t>/L</t>
    </r>
    <r>
      <rPr>
        <vertAlign val="subscript"/>
        <sz val="9"/>
        <rFont val="Arial"/>
        <family val="2"/>
      </rPr>
      <t>y</t>
    </r>
  </si>
  <si>
    <r>
      <t>I</t>
    </r>
    <r>
      <rPr>
        <vertAlign val="subscript"/>
        <sz val="9"/>
        <rFont val="Arial"/>
        <family val="2"/>
      </rPr>
      <t>G</t>
    </r>
  </si>
  <si>
    <t>Dalles rectangulaires</t>
  </si>
  <si>
    <t>1=dalle portant dans 1 ou 2 directions (poutre=1)</t>
  </si>
  <si>
    <t>l</t>
  </si>
  <si>
    <t>portée principale entre nus d'appuis</t>
  </si>
  <si>
    <t>k</t>
  </si>
  <si>
    <r>
      <t>k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>=L/l</t>
    </r>
  </si>
  <si>
    <r>
      <t>A'</t>
    </r>
    <r>
      <rPr>
        <vertAlign val="subscript"/>
        <sz val="9"/>
        <rFont val="Arial"/>
        <family val="2"/>
      </rPr>
      <t>s</t>
    </r>
  </si>
  <si>
    <t>résistance du béton</t>
  </si>
  <si>
    <t>dalle 4 appuis</t>
  </si>
  <si>
    <t>mm</t>
  </si>
  <si>
    <t>flèche instantannée à mi-travée en section fissurée</t>
  </si>
  <si>
    <t>d</t>
  </si>
  <si>
    <t>d'</t>
  </si>
  <si>
    <t>distance utile des armatures inférieures</t>
  </si>
  <si>
    <t>distance utile des armatures supérieures</t>
  </si>
  <si>
    <t>Aire, cdg et moment d'inertie homogénéisé d'une section en Té (indice h)</t>
  </si>
  <si>
    <r>
      <t>M</t>
    </r>
    <r>
      <rPr>
        <vertAlign val="subscript"/>
        <sz val="9"/>
        <rFont val="Arial"/>
        <family val="2"/>
      </rPr>
      <t>pcrq</t>
    </r>
  </si>
  <si>
    <r>
      <t>w</t>
    </r>
    <r>
      <rPr>
        <vertAlign val="subscript"/>
        <sz val="9"/>
        <rFont val="Arial"/>
        <family val="2"/>
      </rPr>
      <t>et</t>
    </r>
  </si>
  <si>
    <r>
      <t>w</t>
    </r>
    <r>
      <rPr>
        <vertAlign val="subscript"/>
        <sz val="9"/>
        <rFont val="Arial"/>
        <family val="2"/>
      </rPr>
      <t>ht</t>
    </r>
  </si>
  <si>
    <r>
      <t>I</t>
    </r>
    <r>
      <rPr>
        <vertAlign val="subscript"/>
        <sz val="9"/>
        <rFont val="Arial"/>
        <family val="2"/>
      </rPr>
      <t>h</t>
    </r>
  </si>
  <si>
    <t>N</t>
  </si>
  <si>
    <t>kN</t>
  </si>
  <si>
    <t>effort normal éventuel (précontrainte)</t>
  </si>
  <si>
    <r>
      <t>I</t>
    </r>
    <r>
      <rPr>
        <vertAlign val="subscript"/>
        <sz val="9"/>
        <rFont val="Arial"/>
        <family val="2"/>
      </rPr>
      <t>e</t>
    </r>
  </si>
  <si>
    <r>
      <t>m</t>
    </r>
    <r>
      <rPr>
        <vertAlign val="superscript"/>
        <sz val="9"/>
        <rFont val="Arial"/>
        <family val="2"/>
      </rPr>
      <t>4</t>
    </r>
  </si>
  <si>
    <t>moment d'inertie section non-fissurée</t>
  </si>
  <si>
    <t>flèche instantannée à mi-travée en section non fissurée</t>
  </si>
  <si>
    <r>
      <t>M</t>
    </r>
    <r>
      <rPr>
        <vertAlign val="subscript"/>
        <sz val="9"/>
        <rFont val="Arial"/>
        <family val="2"/>
      </rPr>
      <t>pcr</t>
    </r>
  </si>
  <si>
    <r>
      <t>w</t>
    </r>
    <r>
      <rPr>
        <vertAlign val="subscript"/>
        <sz val="9"/>
        <rFont val="Arial"/>
        <family val="2"/>
      </rPr>
      <t>edi</t>
    </r>
  </si>
  <si>
    <r>
      <t>w</t>
    </r>
    <r>
      <rPr>
        <vertAlign val="subscript"/>
        <sz val="9"/>
        <rFont val="Arial"/>
        <family val="2"/>
      </rPr>
      <t>hdi</t>
    </r>
  </si>
  <si>
    <r>
      <t>M</t>
    </r>
    <r>
      <rPr>
        <vertAlign val="subscript"/>
        <sz val="9"/>
        <rFont val="Arial"/>
        <family val="2"/>
      </rPr>
      <t>pc</t>
    </r>
  </si>
  <si>
    <r>
      <t>z</t>
    </r>
    <r>
      <rPr>
        <vertAlign val="subscript"/>
        <sz val="9"/>
        <rFont val="Arial"/>
        <family val="2"/>
      </rPr>
      <t>di</t>
    </r>
  </si>
  <si>
    <r>
      <t>z</t>
    </r>
    <r>
      <rPr>
        <vertAlign val="subscript"/>
        <sz val="9"/>
        <rFont val="Arial"/>
        <family val="2"/>
      </rPr>
      <t>dv</t>
    </r>
  </si>
  <si>
    <r>
      <t>z</t>
    </r>
    <r>
      <rPr>
        <vertAlign val="subscript"/>
        <sz val="9"/>
        <rFont val="Arial"/>
        <family val="2"/>
      </rPr>
      <t>t</t>
    </r>
  </si>
  <si>
    <t>Y</t>
  </si>
  <si>
    <r>
      <t>w</t>
    </r>
    <r>
      <rPr>
        <vertAlign val="subscript"/>
        <sz val="9"/>
        <rFont val="Arial"/>
        <family val="2"/>
      </rPr>
      <t>d</t>
    </r>
  </si>
  <si>
    <r>
      <t>w</t>
    </r>
    <r>
      <rPr>
        <vertAlign val="subscript"/>
        <sz val="9"/>
        <rFont val="Arial"/>
        <family val="2"/>
      </rPr>
      <t>t</t>
    </r>
  </si>
  <si>
    <r>
      <t>w</t>
    </r>
    <r>
      <rPr>
        <vertAlign val="subscript"/>
        <sz val="9"/>
        <rFont val="Arial"/>
        <family val="2"/>
      </rPr>
      <t>di</t>
    </r>
  </si>
  <si>
    <r>
      <t>w</t>
    </r>
    <r>
      <rPr>
        <vertAlign val="subscript"/>
        <sz val="9"/>
        <rFont val="Arial"/>
        <family val="2"/>
      </rPr>
      <t>edv</t>
    </r>
  </si>
  <si>
    <r>
      <t>w</t>
    </r>
    <r>
      <rPr>
        <vertAlign val="subscript"/>
        <sz val="9"/>
        <rFont val="Arial"/>
        <family val="2"/>
      </rPr>
      <t>hdv</t>
    </r>
  </si>
  <si>
    <r>
      <t>w</t>
    </r>
    <r>
      <rPr>
        <vertAlign val="subscript"/>
        <sz val="9"/>
        <rFont val="Arial"/>
        <family val="2"/>
      </rPr>
      <t>dv</t>
    </r>
  </si>
  <si>
    <r>
      <t>D</t>
    </r>
    <r>
      <rPr>
        <sz val="9"/>
        <rFont val="Arial"/>
        <family val="0"/>
      </rPr>
      <t>w</t>
    </r>
  </si>
  <si>
    <t>flèche nuisible</t>
  </si>
  <si>
    <t>soit</t>
  </si>
  <si>
    <t>=0 si décoffrage immédiat, =1 si décoffrage tardif</t>
  </si>
  <si>
    <t>type</t>
  </si>
  <si>
    <t>H. Thonier</t>
  </si>
  <si>
    <t>L'auteur n'est pas</t>
  </si>
  <si>
    <t>l'usage fait de</t>
  </si>
  <si>
    <t>ce programme</t>
  </si>
  <si>
    <t>responsable de</t>
  </si>
  <si>
    <t>largeur âme (poutre)</t>
  </si>
  <si>
    <t>épaisseur table (poutre)</t>
  </si>
  <si>
    <t>S =</t>
  </si>
  <si>
    <t>=1 si pas de traction axiale due à retrait et thermique, sinon 0 (§ 7.4.3 (4))</t>
  </si>
  <si>
    <r>
      <t>f</t>
    </r>
    <r>
      <rPr>
        <vertAlign val="subscript"/>
        <sz val="9"/>
        <rFont val="Arial"/>
        <family val="2"/>
      </rPr>
      <t>ct,eff</t>
    </r>
  </si>
  <si>
    <r>
      <t>f</t>
    </r>
    <r>
      <rPr>
        <vertAlign val="subscript"/>
        <sz val="9"/>
        <rFont val="Arial"/>
        <family val="2"/>
      </rPr>
      <t>ctm</t>
    </r>
    <r>
      <rPr>
        <sz val="9"/>
        <rFont val="Arial"/>
        <family val="0"/>
      </rPr>
      <t xml:space="preserve"> ou f</t>
    </r>
    <r>
      <rPr>
        <vertAlign val="subscript"/>
        <sz val="9"/>
        <rFont val="Arial"/>
        <family val="2"/>
      </rPr>
      <t>ctm,fl</t>
    </r>
    <r>
      <rPr>
        <sz val="9"/>
        <rFont val="Arial"/>
        <family val="2"/>
      </rPr>
      <t xml:space="preserve">  (§ 7.4.3 (4))</t>
    </r>
  </si>
  <si>
    <t>Aire homogénéisée</t>
  </si>
  <si>
    <r>
      <t>m</t>
    </r>
    <r>
      <rPr>
        <vertAlign val="superscript"/>
        <sz val="9"/>
        <rFont val="Arial"/>
        <family val="2"/>
      </rPr>
      <t>2</t>
    </r>
  </si>
  <si>
    <r>
      <t>m</t>
    </r>
    <r>
      <rPr>
        <vertAlign val="superscript"/>
        <sz val="9"/>
        <rFont val="Arial"/>
        <family val="2"/>
      </rPr>
      <t>4</t>
    </r>
  </si>
  <si>
    <r>
      <t>Inertie homogénéisée I</t>
    </r>
    <r>
      <rPr>
        <vertAlign val="subscript"/>
        <sz val="9"/>
        <rFont val="Arial"/>
        <family val="2"/>
      </rPr>
      <t>h</t>
    </r>
  </si>
  <si>
    <r>
      <t>k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 xml:space="preserve"> = M/(p.L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</t>
    </r>
  </si>
  <si>
    <r>
      <t>k</t>
    </r>
    <r>
      <rPr>
        <vertAlign val="subscript"/>
        <sz val="9"/>
        <rFont val="Arial"/>
        <family val="2"/>
      </rPr>
      <t>3</t>
    </r>
    <r>
      <rPr>
        <sz val="9"/>
        <rFont val="Arial"/>
        <family val="0"/>
      </rPr>
      <t xml:space="preserve"> = E.h</t>
    </r>
    <r>
      <rPr>
        <vertAlign val="superscript"/>
        <sz val="9"/>
        <rFont val="Arial"/>
        <family val="2"/>
      </rPr>
      <t>3</t>
    </r>
    <r>
      <rPr>
        <sz val="9"/>
        <rFont val="Arial"/>
        <family val="0"/>
      </rPr>
      <t>.f/(p.L</t>
    </r>
    <r>
      <rPr>
        <vertAlign val="superscript"/>
        <sz val="9"/>
        <rFont val="Arial"/>
        <family val="2"/>
      </rPr>
      <t>4</t>
    </r>
    <r>
      <rPr>
        <sz val="9"/>
        <rFont val="Arial"/>
        <family val="0"/>
      </rPr>
      <t>)</t>
    </r>
  </si>
  <si>
    <r>
      <t>k</t>
    </r>
    <r>
      <rPr>
        <vertAlign val="subscript"/>
        <sz val="9"/>
        <rFont val="Arial"/>
        <family val="2"/>
      </rPr>
      <t>5</t>
    </r>
    <r>
      <rPr>
        <sz val="9"/>
        <rFont val="Arial"/>
        <family val="0"/>
      </rPr>
      <t xml:space="preserve"> =</t>
    </r>
  </si>
  <si>
    <r>
      <t>= (f</t>
    </r>
    <r>
      <rPr>
        <vertAlign val="subscript"/>
        <sz val="9"/>
        <rFont val="Arial"/>
        <family val="2"/>
      </rPr>
      <t xml:space="preserve">ct,eff </t>
    </r>
    <r>
      <rPr>
        <sz val="9"/>
        <rFont val="Arial"/>
        <family val="0"/>
      </rPr>
      <t>+</t>
    </r>
    <r>
      <rPr>
        <sz val="9"/>
        <rFont val="Symbol"/>
        <family val="1"/>
      </rPr>
      <t>s</t>
    </r>
    <r>
      <rPr>
        <vertAlign val="subscript"/>
        <sz val="9"/>
        <rFont val="Arial"/>
        <family val="2"/>
      </rPr>
      <t>0</t>
    </r>
    <r>
      <rPr>
        <sz val="9"/>
        <rFont val="Arial"/>
        <family val="0"/>
      </rPr>
      <t>).I/v'</t>
    </r>
  </si>
  <si>
    <t>module instantanné</t>
  </si>
  <si>
    <t>module différé</t>
  </si>
  <si>
    <t xml:space="preserve">pour mise en œuvre des éléments fragiles </t>
  </si>
  <si>
    <t>immédiatement après décoffrage  élément porteur</t>
  </si>
  <si>
    <t>très longtemps après décoffrage  élément porteur</t>
  </si>
  <si>
    <t>kNm   moment à mi-travée</t>
  </si>
  <si>
    <t>152-Calcul de la flèche nuisible, poutre ou dalle portant dans 1  ou 2 directions</t>
  </si>
  <si>
    <t>p'</t>
  </si>
  <si>
    <t>précontrainte</t>
  </si>
  <si>
    <t xml:space="preserve">action de la </t>
  </si>
  <si>
    <t>p+p'</t>
  </si>
  <si>
    <r>
      <t>moment d'inertie section fissurée (si M&gt; M</t>
    </r>
    <r>
      <rPr>
        <vertAlign val="subscript"/>
        <sz val="9"/>
        <rFont val="Arial"/>
        <family val="2"/>
      </rPr>
      <t>cr</t>
    </r>
    <r>
      <rPr>
        <sz val="9"/>
        <rFont val="Arial"/>
        <family val="0"/>
      </rPr>
      <t>) sous charges p+c+r+q</t>
    </r>
  </si>
  <si>
    <r>
      <t>t</t>
    </r>
    <r>
      <rPr>
        <vertAlign val="subscript"/>
        <sz val="9"/>
        <rFont val="Arial"/>
        <family val="2"/>
      </rPr>
      <t>déc</t>
    </r>
  </si>
  <si>
    <t>date du décoffrage en jours</t>
  </si>
  <si>
    <r>
      <t>t</t>
    </r>
    <r>
      <rPr>
        <vertAlign val="subscript"/>
        <sz val="9"/>
        <rFont val="Arial"/>
        <family val="2"/>
      </rPr>
      <t>fr</t>
    </r>
  </si>
  <si>
    <r>
      <t>t</t>
    </r>
    <r>
      <rPr>
        <vertAlign val="subscript"/>
        <sz val="9"/>
        <rFont val="Arial"/>
        <family val="2"/>
      </rPr>
      <t>ch</t>
    </r>
  </si>
  <si>
    <t>t</t>
  </si>
  <si>
    <t>class</t>
  </si>
  <si>
    <t>42,5N</t>
  </si>
  <si>
    <t>RH</t>
  </si>
  <si>
    <t>taux d'humidité relative</t>
  </si>
  <si>
    <r>
      <t>b</t>
    </r>
    <r>
      <rPr>
        <vertAlign val="subscript"/>
        <sz val="9"/>
        <rFont val="Arial"/>
        <family val="2"/>
      </rPr>
      <t>H</t>
    </r>
  </si>
  <si>
    <t>coefficient dépendant de RH et rayon moyen</t>
  </si>
  <si>
    <r>
      <t>a</t>
    </r>
    <r>
      <rPr>
        <vertAlign val="subscript"/>
        <sz val="9"/>
        <rFont val="Arial"/>
        <family val="2"/>
      </rPr>
      <t>e</t>
    </r>
  </si>
  <si>
    <t>coefficient d'équivalence</t>
  </si>
  <si>
    <r>
      <t>E</t>
    </r>
    <r>
      <rPr>
        <vertAlign val="subscript"/>
        <sz val="9"/>
        <rFont val="Arial"/>
        <family val="2"/>
      </rPr>
      <t>c</t>
    </r>
  </si>
  <si>
    <t>module d'Young</t>
  </si>
  <si>
    <t>coefficient de fluage calculé</t>
  </si>
  <si>
    <t>coeff; de temps écoulé entre décoffrage et montage de l'élément fragile</t>
  </si>
  <si>
    <t>42,5R</t>
  </si>
  <si>
    <t>32,5N</t>
  </si>
  <si>
    <t>32,5R</t>
  </si>
  <si>
    <t>52,5N</t>
  </si>
  <si>
    <t>52,5R</t>
  </si>
  <si>
    <t>date chargement permanent total</t>
  </si>
  <si>
    <t>date de calcul en jours (infini ?)</t>
  </si>
  <si>
    <t xml:space="preserve">classe de ciment </t>
  </si>
  <si>
    <t>date montage éléments fragiles</t>
  </si>
  <si>
    <r>
      <t xml:space="preserve">Pour un calcul avec des valeurs de n, </t>
    </r>
    <r>
      <rPr>
        <b/>
        <sz val="10"/>
        <rFont val="Symbol"/>
        <family val="1"/>
      </rPr>
      <t>F</t>
    </r>
    <r>
      <rPr>
        <b/>
        <sz val="10"/>
        <rFont val="Arial Narrow"/>
        <family val="2"/>
      </rPr>
      <t xml:space="preserve"> et </t>
    </r>
    <r>
      <rPr>
        <b/>
        <sz val="10"/>
        <rFont val="Symbol"/>
        <family val="1"/>
      </rPr>
      <t>Y</t>
    </r>
    <r>
      <rPr>
        <b/>
        <sz val="10"/>
        <rFont val="Arial Narrow"/>
        <family val="2"/>
      </rPr>
      <t xml:space="preserve"> </t>
    </r>
  </si>
  <si>
    <t>largeur totale (1 m pour une dalle)</t>
  </si>
  <si>
    <r>
      <t>= P/A</t>
    </r>
    <r>
      <rPr>
        <vertAlign val="subscript"/>
        <sz val="9"/>
        <rFont val="Arial"/>
        <family val="2"/>
      </rPr>
      <t>c</t>
    </r>
    <r>
      <rPr>
        <sz val="9"/>
        <rFont val="Arial"/>
        <family val="2"/>
      </rPr>
      <t xml:space="preserve"> contrainte moyenne de compression (BP)</t>
    </r>
  </si>
  <si>
    <t xml:space="preserve">  différentes des valeurs conventionnelles</t>
  </si>
  <si>
    <r>
      <t>h</t>
    </r>
    <r>
      <rPr>
        <vertAlign val="subscript"/>
        <sz val="9"/>
        <rFont val="Arial"/>
        <family val="2"/>
      </rPr>
      <t>0</t>
    </r>
  </si>
  <si>
    <t>rayon moyen en mm</t>
  </si>
  <si>
    <r>
      <t xml:space="preserve">coefficient d'équivalence § 7.4.3 (4) </t>
    </r>
    <r>
      <rPr>
        <i/>
        <sz val="9"/>
        <rFont val="Arial"/>
        <family val="2"/>
      </rPr>
      <t>on peut prendre 15</t>
    </r>
  </si>
  <si>
    <r>
      <t xml:space="preserve">coefficient de fluage (§ 7.4.3 (7)) </t>
    </r>
    <r>
      <rPr>
        <i/>
        <sz val="9"/>
        <rFont val="Arial"/>
        <family val="2"/>
      </rPr>
      <t>on peut prendre 2</t>
    </r>
  </si>
  <si>
    <r>
      <t>Non, car formule M.L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/10</t>
    </r>
  </si>
  <si>
    <r>
      <t>I</t>
    </r>
    <r>
      <rPr>
        <vertAlign val="subscript"/>
        <sz val="9"/>
        <rFont val="Arial"/>
        <family val="2"/>
      </rPr>
      <t>D</t>
    </r>
    <r>
      <rPr>
        <sz val="9"/>
        <rFont val="Arial"/>
        <family val="0"/>
      </rPr>
      <t xml:space="preserve"> =</t>
    </r>
  </si>
  <si>
    <r>
      <t>M</t>
    </r>
    <r>
      <rPr>
        <vertAlign val="subscript"/>
        <sz val="9"/>
        <rFont val="Arial"/>
        <family val="2"/>
      </rPr>
      <t>p</t>
    </r>
  </si>
  <si>
    <r>
      <t>M</t>
    </r>
    <r>
      <rPr>
        <vertAlign val="subscript"/>
        <sz val="9"/>
        <rFont val="Arial"/>
        <family val="2"/>
      </rPr>
      <t>c</t>
    </r>
  </si>
  <si>
    <r>
      <t>M</t>
    </r>
    <r>
      <rPr>
        <vertAlign val="subscript"/>
        <sz val="9"/>
        <rFont val="Arial"/>
        <family val="2"/>
      </rPr>
      <t>r</t>
    </r>
  </si>
  <si>
    <r>
      <t>M</t>
    </r>
    <r>
      <rPr>
        <vertAlign val="subscript"/>
        <sz val="9"/>
        <rFont val="Arial"/>
        <family val="2"/>
      </rPr>
      <t>q</t>
    </r>
  </si>
  <si>
    <t>moment à mi-travée dû à la charge de poids propre</t>
  </si>
  <si>
    <t>moment à mi-travée dû à la charge d'exploitation</t>
  </si>
  <si>
    <t>moment à mi-travée dû au poids des éléments fragiles</t>
  </si>
  <si>
    <t>d° dû à la charge perm. après mise en œuvre des éléments fragiles</t>
  </si>
  <si>
    <r>
      <t>=1 : f</t>
    </r>
    <r>
      <rPr>
        <vertAlign val="subscript"/>
        <sz val="9"/>
        <rFont val="Arial"/>
        <family val="2"/>
      </rPr>
      <t xml:space="preserve">ctm,fl </t>
    </r>
    <r>
      <rPr>
        <sz val="9"/>
        <rFont val="Arial"/>
        <family val="0"/>
      </rPr>
      <t>; =0=f</t>
    </r>
    <r>
      <rPr>
        <vertAlign val="subscript"/>
        <sz val="9"/>
        <rFont val="Arial"/>
        <family val="2"/>
      </rPr>
      <t>ctm</t>
    </r>
  </si>
  <si>
    <r>
      <t>f</t>
    </r>
    <r>
      <rPr>
        <vertAlign val="subscript"/>
        <sz val="9"/>
        <rFont val="Arial Narrow"/>
        <family val="2"/>
      </rPr>
      <t>ctm</t>
    </r>
    <r>
      <rPr>
        <sz val="9"/>
        <rFont val="Arial Narrow"/>
        <family val="2"/>
      </rPr>
      <t xml:space="preserve"> ou f</t>
    </r>
    <r>
      <rPr>
        <vertAlign val="subscript"/>
        <sz val="9"/>
        <rFont val="Arial Narrow"/>
        <family val="2"/>
      </rPr>
      <t xml:space="preserve">ctm,ef </t>
    </r>
    <r>
      <rPr>
        <sz val="9"/>
        <rFont val="Arial Narrow"/>
        <family val="2"/>
      </rPr>
      <t>?</t>
    </r>
  </si>
  <si>
    <t>résistance moyenne à la traction</t>
  </si>
  <si>
    <t>flèche limite</t>
  </si>
  <si>
    <t>(formule B.7 de l'EC2)</t>
  </si>
  <si>
    <r>
      <t>k = M</t>
    </r>
    <r>
      <rPr>
        <vertAlign val="subscript"/>
        <sz val="9"/>
        <rFont val="Arial"/>
        <family val="2"/>
      </rPr>
      <t>appui</t>
    </r>
    <r>
      <rPr>
        <sz val="9"/>
        <rFont val="Arial"/>
        <family val="0"/>
      </rPr>
      <t>/M</t>
    </r>
    <r>
      <rPr>
        <vertAlign val="subscript"/>
        <sz val="9"/>
        <rFont val="Arial"/>
        <family val="2"/>
      </rPr>
      <t xml:space="preserve">0 </t>
    </r>
    <r>
      <rPr>
        <sz val="9"/>
        <rFont val="Arial"/>
        <family val="0"/>
      </rPr>
      <t>=</t>
    </r>
  </si>
  <si>
    <r>
      <t>M</t>
    </r>
    <r>
      <rPr>
        <vertAlign val="subscript"/>
        <sz val="9"/>
        <rFont val="Arial"/>
        <family val="2"/>
      </rPr>
      <t>iso</t>
    </r>
  </si>
  <si>
    <r>
      <t>M</t>
    </r>
    <r>
      <rPr>
        <vertAlign val="subscript"/>
        <sz val="9"/>
        <rFont val="Arial"/>
        <family val="2"/>
      </rPr>
      <t>appui</t>
    </r>
  </si>
  <si>
    <r>
      <t>M</t>
    </r>
    <r>
      <rPr>
        <vertAlign val="subscript"/>
        <sz val="9"/>
        <rFont val="Arial"/>
        <family val="2"/>
      </rPr>
      <t>mi-travée</t>
    </r>
  </si>
  <si>
    <r>
      <t>M</t>
    </r>
    <r>
      <rPr>
        <vertAlign val="subscript"/>
        <sz val="9"/>
        <rFont val="Arial"/>
        <family val="2"/>
      </rPr>
      <t>0</t>
    </r>
  </si>
  <si>
    <r>
      <t>M</t>
    </r>
    <r>
      <rPr>
        <vertAlign val="subscript"/>
        <sz val="9"/>
        <rFont val="Arial"/>
        <family val="2"/>
      </rPr>
      <t>mi-trav</t>
    </r>
  </si>
  <si>
    <t>x</t>
  </si>
  <si>
    <t>z</t>
  </si>
  <si>
    <r>
      <t>A</t>
    </r>
    <r>
      <rPr>
        <vertAlign val="subscript"/>
        <sz val="9"/>
        <rFont val="Arial"/>
        <family val="2"/>
      </rPr>
      <t>s,rqd</t>
    </r>
  </si>
  <si>
    <r>
      <t>M</t>
    </r>
    <r>
      <rPr>
        <vertAlign val="subscript"/>
        <sz val="9"/>
        <rFont val="Arial"/>
        <family val="2"/>
      </rPr>
      <t>Ed</t>
    </r>
  </si>
  <si>
    <t>en ELU</t>
  </si>
  <si>
    <t>suivant Guide EC2 FD P18-717 (2013)</t>
  </si>
  <si>
    <t>portée dans le sens transversal si k = 2 (&gt; L)</t>
  </si>
  <si>
    <t xml:space="preserve">Ce document est protégé par le droit d’auteur © Henry Thonier - EGF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</si>
</sst>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0.000E+00"/>
    <numFmt numFmtId="169" formatCode="0.0000E+00"/>
    <numFmt numFmtId="170" formatCode="0.00000E+00"/>
    <numFmt numFmtId="171" formatCode="0.000000"/>
  </numFmts>
  <fonts count="25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9"/>
      <name val="Symbol"/>
      <family val="1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sz val="9.75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9"/>
      <name val="Symbol"/>
      <family val="1"/>
    </font>
    <font>
      <b/>
      <sz val="9"/>
      <name val="Arial"/>
      <family val="2"/>
    </font>
    <font>
      <i/>
      <sz val="9"/>
      <name val="Arial"/>
      <family val="2"/>
    </font>
    <font>
      <b/>
      <vertAlign val="superscript"/>
      <sz val="9"/>
      <name val="Tahoma"/>
      <family val="2"/>
    </font>
    <font>
      <b/>
      <sz val="9"/>
      <color indexed="18"/>
      <name val="Arial"/>
      <family val="2"/>
    </font>
    <font>
      <b/>
      <sz val="10"/>
      <name val="Symbol"/>
      <family val="1"/>
    </font>
    <font>
      <b/>
      <sz val="8"/>
      <name val="Tahoma"/>
      <family val="0"/>
    </font>
    <font>
      <sz val="9"/>
      <color indexed="18"/>
      <name val="Arial"/>
      <family val="0"/>
    </font>
    <font>
      <sz val="9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9"/>
      <name val="Tahoma"/>
      <family val="2"/>
    </font>
    <font>
      <vertAlign val="subscript"/>
      <sz val="9"/>
      <name val="Arial Narrow"/>
      <family val="2"/>
    </font>
    <font>
      <sz val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ck"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 style="thick"/>
      <top style="hair"/>
      <bottom>
        <color indexed="63"/>
      </bottom>
    </border>
    <border>
      <left style="thick"/>
      <right style="thick"/>
      <top>
        <color indexed="63"/>
      </top>
      <bottom style="hair"/>
    </border>
    <border>
      <left style="thick"/>
      <right style="thick"/>
      <top style="thin"/>
      <bottom style="hair"/>
    </border>
    <border>
      <left style="thick"/>
      <right style="thick"/>
      <top style="hair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" fontId="2" fillId="0" borderId="1" xfId="0" applyNumberFormat="1" applyFont="1" applyBorder="1" applyAlignment="1" applyProtection="1">
      <alignment horizontal="center"/>
      <protection/>
    </xf>
    <xf numFmtId="1" fontId="2" fillId="0" borderId="2" xfId="0" applyNumberFormat="1" applyFont="1" applyBorder="1" applyAlignment="1" applyProtection="1">
      <alignment horizontal="center"/>
      <protection/>
    </xf>
    <xf numFmtId="1" fontId="2" fillId="0" borderId="3" xfId="0" applyNumberFormat="1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 quotePrefix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3" fillId="0" borderId="0" xfId="0" applyFont="1" applyAlignment="1">
      <alignment horizontal="right"/>
    </xf>
    <xf numFmtId="0" fontId="2" fillId="0" borderId="0" xfId="0" applyFont="1" applyAlignment="1" quotePrefix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166" fontId="2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 applyProtection="1">
      <alignment/>
      <protection/>
    </xf>
    <xf numFmtId="0" fontId="2" fillId="3" borderId="16" xfId="0" applyFon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/>
    </xf>
    <xf numFmtId="0" fontId="2" fillId="3" borderId="18" xfId="0" applyFont="1" applyFill="1" applyBorder="1" applyAlignment="1" applyProtection="1">
      <alignment horizontal="center"/>
      <protection locked="0"/>
    </xf>
    <xf numFmtId="167" fontId="0" fillId="2" borderId="16" xfId="0" applyNumberFormat="1" applyFill="1" applyBorder="1" applyAlignment="1" applyProtection="1">
      <alignment horizontal="center"/>
      <protection/>
    </xf>
    <xf numFmtId="2" fontId="2" fillId="2" borderId="17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166" fontId="0" fillId="2" borderId="18" xfId="0" applyNumberFormat="1" applyFill="1" applyBorder="1" applyAlignment="1" applyProtection="1">
      <alignment horizontal="center"/>
      <protection/>
    </xf>
    <xf numFmtId="0" fontId="16" fillId="0" borderId="19" xfId="0" applyFont="1" applyFill="1" applyBorder="1" applyAlignment="1">
      <alignment horizontal="left"/>
    </xf>
    <xf numFmtId="2" fontId="16" fillId="0" borderId="19" xfId="0" applyNumberFormat="1" applyFont="1" applyFill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0" fillId="0" borderId="9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17" fillId="0" borderId="0" xfId="0" applyFont="1" applyAlignment="1">
      <alignment horizontal="left"/>
    </xf>
    <xf numFmtId="0" fontId="18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left"/>
      <protection/>
    </xf>
    <xf numFmtId="0" fontId="2" fillId="0" borderId="21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3" borderId="22" xfId="0" applyFont="1" applyFill="1" applyBorder="1" applyAlignment="1" applyProtection="1">
      <alignment horizontal="center"/>
      <protection locked="0"/>
    </xf>
    <xf numFmtId="0" fontId="2" fillId="3" borderId="23" xfId="0" applyFont="1" applyFill="1" applyBorder="1" applyAlignment="1" applyProtection="1">
      <alignment horizontal="center"/>
      <protection locked="0"/>
    </xf>
    <xf numFmtId="0" fontId="2" fillId="3" borderId="23" xfId="0" applyFont="1" applyFill="1" applyBorder="1" applyAlignment="1" applyProtection="1">
      <alignment horizontal="center"/>
      <protection locked="0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0" xfId="0" applyFont="1" applyAlignment="1" quotePrefix="1">
      <alignment horizontal="left"/>
    </xf>
    <xf numFmtId="3" fontId="2" fillId="3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2" fillId="0" borderId="17" xfId="0" applyFont="1" applyBorder="1" applyAlignment="1" applyProtection="1">
      <alignment horizontal="center"/>
      <protection/>
    </xf>
    <xf numFmtId="170" fontId="2" fillId="0" borderId="5" xfId="0" applyNumberFormat="1" applyFont="1" applyBorder="1" applyAlignment="1">
      <alignment horizontal="center"/>
    </xf>
    <xf numFmtId="171" fontId="2" fillId="0" borderId="8" xfId="0" applyNumberFormat="1" applyFont="1" applyBorder="1" applyAlignment="1">
      <alignment horizontal="center"/>
    </xf>
    <xf numFmtId="0" fontId="2" fillId="3" borderId="25" xfId="0" applyFont="1" applyFill="1" applyBorder="1" applyAlignment="1" applyProtection="1">
      <alignment horizontal="center"/>
      <protection locked="0"/>
    </xf>
    <xf numFmtId="0" fontId="2" fillId="3" borderId="26" xfId="0" applyFont="1" applyFill="1" applyBorder="1" applyAlignment="1" applyProtection="1">
      <alignment horizontal="center"/>
      <protection locked="0"/>
    </xf>
    <xf numFmtId="0" fontId="2" fillId="3" borderId="27" xfId="0" applyFont="1" applyFill="1" applyBorder="1" applyAlignment="1" applyProtection="1">
      <alignment horizontal="center"/>
      <protection locked="0"/>
    </xf>
    <xf numFmtId="0" fontId="2" fillId="3" borderId="2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0" fontId="2" fillId="0" borderId="0" xfId="0" applyFont="1" applyFill="1" applyBorder="1" applyAlignment="1" applyProtection="1">
      <alignment horizontal="left"/>
      <protection/>
    </xf>
    <xf numFmtId="0" fontId="2" fillId="4" borderId="0" xfId="0" applyFont="1" applyFill="1" applyAlignment="1">
      <alignment horizontal="right"/>
    </xf>
    <xf numFmtId="2" fontId="2" fillId="3" borderId="27" xfId="0" applyNumberFormat="1" applyFont="1" applyFill="1" applyBorder="1" applyAlignment="1" applyProtection="1">
      <alignment horizontal="center"/>
      <protection locked="0"/>
    </xf>
    <xf numFmtId="2" fontId="2" fillId="3" borderId="23" xfId="0" applyNumberFormat="1" applyFont="1" applyFill="1" applyBorder="1" applyAlignment="1" applyProtection="1">
      <alignment horizontal="center"/>
      <protection locked="0"/>
    </xf>
    <xf numFmtId="2" fontId="2" fillId="3" borderId="28" xfId="0" applyNumberFormat="1" applyFont="1" applyFill="1" applyBorder="1" applyAlignment="1" applyProtection="1">
      <alignment horizontal="center"/>
      <protection locked="0"/>
    </xf>
    <xf numFmtId="2" fontId="2" fillId="0" borderId="16" xfId="0" applyNumberFormat="1" applyFont="1" applyBorder="1" applyAlignment="1">
      <alignment horizontal="center"/>
    </xf>
    <xf numFmtId="2" fontId="2" fillId="2" borderId="18" xfId="0" applyNumberFormat="1" applyFont="1" applyFill="1" applyBorder="1" applyAlignment="1">
      <alignment horizontal="center"/>
    </xf>
    <xf numFmtId="2" fontId="10" fillId="2" borderId="15" xfId="0" applyNumberFormat="1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4" borderId="0" xfId="0" applyFont="1" applyFill="1" applyAlignment="1">
      <alignment horizontal="left"/>
    </xf>
    <xf numFmtId="167" fontId="2" fillId="0" borderId="0" xfId="0" applyNumberFormat="1" applyFont="1" applyAlignment="1">
      <alignment horizontal="center"/>
    </xf>
    <xf numFmtId="2" fontId="2" fillId="0" borderId="15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moment et flèche en fonction du rapport des côtés d'une dalle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Feuil1!$X$30</c:f>
              <c:strCache>
                <c:ptCount val="1"/>
                <c:pt idx="0">
                  <c:v>Mx/(p.L2)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Feuil1!$W$31:$W$51</c:f>
              <c:numCach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Feuil1!$X$31:$X$51</c:f>
              <c:numCache>
                <c:ptCount val="21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4">
                  <c:v>0.1247</c:v>
                </c:pt>
                <c:pt idx="5">
                  <c:v>0.1234</c:v>
                </c:pt>
                <c:pt idx="6">
                  <c:v>0.1208</c:v>
                </c:pt>
                <c:pt idx="7">
                  <c:v>0.117</c:v>
                </c:pt>
                <c:pt idx="8">
                  <c:v>0.112</c:v>
                </c:pt>
                <c:pt idx="9">
                  <c:v>0.1062</c:v>
                </c:pt>
                <c:pt idx="10">
                  <c:v>0.0999</c:v>
                </c:pt>
                <c:pt idx="11">
                  <c:v>0.0934</c:v>
                </c:pt>
                <c:pt idx="12">
                  <c:v>0.0869</c:v>
                </c:pt>
                <c:pt idx="13">
                  <c:v>0.0804</c:v>
                </c:pt>
                <c:pt idx="14">
                  <c:v>0.0742</c:v>
                </c:pt>
                <c:pt idx="15">
                  <c:v>0.0683</c:v>
                </c:pt>
                <c:pt idx="16">
                  <c:v>0.0627</c:v>
                </c:pt>
                <c:pt idx="17">
                  <c:v>0.0575</c:v>
                </c:pt>
                <c:pt idx="18">
                  <c:v>0.0527</c:v>
                </c:pt>
                <c:pt idx="19">
                  <c:v>0.0483</c:v>
                </c:pt>
                <c:pt idx="20">
                  <c:v>0.0442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Feuil1!$Y$30</c:f>
              <c:strCache>
                <c:ptCount val="1"/>
                <c:pt idx="0">
                  <c:v>Eh3f/(p.L4)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Feuil1!$W$31:$W$51</c:f>
              <c:numCach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Feuil1!$Y$31:$Y$51</c:f>
              <c:numCache>
                <c:ptCount val="21"/>
                <c:pt idx="0">
                  <c:v>0.1562</c:v>
                </c:pt>
                <c:pt idx="1">
                  <c:v>0.1545</c:v>
                </c:pt>
                <c:pt idx="2">
                  <c:v>0.1535</c:v>
                </c:pt>
                <c:pt idx="3">
                  <c:v>0.1515</c:v>
                </c:pt>
                <c:pt idx="4">
                  <c:v>0.1495</c:v>
                </c:pt>
                <c:pt idx="5">
                  <c:v>0.1477</c:v>
                </c:pt>
                <c:pt idx="6">
                  <c:v>0.1442</c:v>
                </c:pt>
                <c:pt idx="7">
                  <c:v>0.139</c:v>
                </c:pt>
                <c:pt idx="8">
                  <c:v>0.1324</c:v>
                </c:pt>
                <c:pt idx="9">
                  <c:v>0.1249</c:v>
                </c:pt>
                <c:pt idx="10">
                  <c:v>0.1167</c:v>
                </c:pt>
                <c:pt idx="11">
                  <c:v>0.1082</c:v>
                </c:pt>
                <c:pt idx="12">
                  <c:v>0.0998</c:v>
                </c:pt>
                <c:pt idx="13">
                  <c:v>0.0916</c:v>
                </c:pt>
                <c:pt idx="14">
                  <c:v>0.0838</c:v>
                </c:pt>
                <c:pt idx="15">
                  <c:v>0.0764</c:v>
                </c:pt>
                <c:pt idx="16">
                  <c:v>0.0694</c:v>
                </c:pt>
                <c:pt idx="17">
                  <c:v>0.063</c:v>
                </c:pt>
                <c:pt idx="18">
                  <c:v>0.0571</c:v>
                </c:pt>
                <c:pt idx="19">
                  <c:v>0.0517</c:v>
                </c:pt>
                <c:pt idx="20">
                  <c:v>0.0468</c:v>
                </c:pt>
              </c:numCache>
            </c:numRef>
          </c:yVal>
          <c:smooth val="0"/>
        </c:ser>
        <c:axId val="61618781"/>
        <c:axId val="17698118"/>
      </c:scatterChart>
      <c:valAx>
        <c:axId val="61618781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698118"/>
        <c:crosses val="autoZero"/>
        <c:crossBetween val="midCat"/>
        <c:dispUnits/>
        <c:majorUnit val="0.05"/>
      </c:valAx>
      <c:valAx>
        <c:axId val="176981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187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28</xdr:row>
      <xdr:rowOff>85725</xdr:rowOff>
    </xdr:from>
    <xdr:to>
      <xdr:col>39</xdr:col>
      <xdr:colOff>361950</xdr:colOff>
      <xdr:row>51</xdr:row>
      <xdr:rowOff>38100</xdr:rowOff>
    </xdr:to>
    <xdr:graphicFrame>
      <xdr:nvGraphicFramePr>
        <xdr:cNvPr id="1" name="Chart 2"/>
        <xdr:cNvGraphicFramePr/>
      </xdr:nvGraphicFramePr>
      <xdr:xfrm>
        <a:off x="14125575" y="4743450"/>
        <a:ext cx="88963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F71"/>
  <sheetViews>
    <sheetView showGridLines="0" tabSelected="1" view="pageBreakPreview" zoomScaleSheetLayoutView="100" workbookViewId="0" topLeftCell="A1">
      <selection activeCell="J11" sqref="J11"/>
    </sheetView>
  </sheetViews>
  <sheetFormatPr defaultColWidth="11.421875" defaultRowHeight="12.75"/>
  <cols>
    <col min="1" max="1" width="9.140625" style="1" customWidth="1"/>
    <col min="2" max="2" width="8.28125" style="1" customWidth="1"/>
    <col min="3" max="3" width="7.8515625" style="1" customWidth="1"/>
    <col min="4" max="4" width="8.28125" style="1" customWidth="1"/>
    <col min="5" max="5" width="7.28125" style="1" customWidth="1"/>
    <col min="6" max="6" width="8.57421875" style="1" customWidth="1"/>
    <col min="7" max="7" width="8.00390625" style="1" customWidth="1"/>
    <col min="8" max="8" width="5.8515625" style="1" customWidth="1"/>
    <col min="9" max="9" width="6.00390625" style="1" customWidth="1"/>
    <col min="10" max="10" width="8.140625" style="1" customWidth="1"/>
    <col min="11" max="11" width="9.8515625" style="1" customWidth="1"/>
    <col min="12" max="12" width="5.00390625" style="1" customWidth="1"/>
    <col min="13" max="13" width="6.00390625" style="1" customWidth="1"/>
    <col min="14" max="20" width="9.140625" style="1" customWidth="1"/>
    <col min="21" max="21" width="13.00390625" style="1" customWidth="1"/>
    <col min="22" max="16384" width="9.140625" style="1" customWidth="1"/>
  </cols>
  <sheetData>
    <row r="1" spans="2:9" ht="12.75" thickBot="1">
      <c r="B1" s="105" t="s">
        <v>187</v>
      </c>
      <c r="C1" s="105"/>
      <c r="D1" s="105"/>
      <c r="E1" s="105"/>
      <c r="F1" s="105"/>
      <c r="G1" s="105"/>
      <c r="H1" s="105"/>
      <c r="I1" s="105"/>
    </row>
    <row r="2" spans="1:30" ht="12">
      <c r="A2" s="35" t="s">
        <v>119</v>
      </c>
      <c r="O2" s="3" t="s">
        <v>63</v>
      </c>
      <c r="W2" s="4">
        <v>1</v>
      </c>
      <c r="X2" s="5">
        <v>2</v>
      </c>
      <c r="Y2" s="5">
        <v>3</v>
      </c>
      <c r="Z2" s="5">
        <v>4</v>
      </c>
      <c r="AA2" s="5">
        <v>5</v>
      </c>
      <c r="AB2" s="5">
        <v>6</v>
      </c>
      <c r="AC2" s="5">
        <v>7</v>
      </c>
      <c r="AD2" s="6">
        <v>8</v>
      </c>
    </row>
    <row r="3" spans="1:32" ht="14.25" thickBot="1">
      <c r="A3" s="35" t="s">
        <v>185</v>
      </c>
      <c r="K3" s="36" t="s">
        <v>94</v>
      </c>
      <c r="O3" s="16" t="s">
        <v>0</v>
      </c>
      <c r="P3" s="17" t="s">
        <v>1</v>
      </c>
      <c r="Q3" s="17" t="s">
        <v>34</v>
      </c>
      <c r="R3" s="17" t="s">
        <v>35</v>
      </c>
      <c r="S3" s="17" t="s">
        <v>8</v>
      </c>
      <c r="T3" s="17" t="s">
        <v>36</v>
      </c>
      <c r="U3" s="18" t="s">
        <v>47</v>
      </c>
      <c r="W3" s="7" t="s">
        <v>9</v>
      </c>
      <c r="X3" s="8" t="s">
        <v>11</v>
      </c>
      <c r="Y3" s="8" t="s">
        <v>12</v>
      </c>
      <c r="Z3" s="8" t="s">
        <v>13</v>
      </c>
      <c r="AA3" s="8" t="s">
        <v>14</v>
      </c>
      <c r="AB3" s="8" t="s">
        <v>15</v>
      </c>
      <c r="AC3" s="8" t="s">
        <v>16</v>
      </c>
      <c r="AD3" s="9" t="s">
        <v>17</v>
      </c>
      <c r="AF3" s="3" t="s">
        <v>159</v>
      </c>
    </row>
    <row r="4" spans="1:30" ht="12.75" thickTop="1">
      <c r="A4" s="2" t="s">
        <v>52</v>
      </c>
      <c r="B4" s="71">
        <v>1</v>
      </c>
      <c r="D4" s="3" t="s">
        <v>49</v>
      </c>
      <c r="K4" s="36" t="s">
        <v>95</v>
      </c>
      <c r="O4" s="19">
        <f>B7-B9</f>
        <v>1</v>
      </c>
      <c r="P4" s="20">
        <f>B10</f>
        <v>0</v>
      </c>
      <c r="Q4" s="20">
        <f>O4*P4</f>
        <v>0</v>
      </c>
      <c r="R4" s="20">
        <f>P4/2</f>
        <v>0</v>
      </c>
      <c r="S4" s="20">
        <f>Q4*R4</f>
        <v>0</v>
      </c>
      <c r="T4" s="20">
        <f>2/3*P4</f>
        <v>0</v>
      </c>
      <c r="U4" s="21">
        <f>S4*T4</f>
        <v>0</v>
      </c>
      <c r="W4" s="7">
        <v>12</v>
      </c>
      <c r="X4" s="8">
        <v>1.6</v>
      </c>
      <c r="Y4" s="8">
        <v>27</v>
      </c>
      <c r="Z4" s="8">
        <v>3.5</v>
      </c>
      <c r="AA4" s="8">
        <v>1.8</v>
      </c>
      <c r="AB4" s="8">
        <v>3.5</v>
      </c>
      <c r="AC4" s="8">
        <v>2</v>
      </c>
      <c r="AD4" s="9">
        <v>2</v>
      </c>
    </row>
    <row r="5" spans="1:30" ht="12">
      <c r="A5" s="2" t="s">
        <v>2</v>
      </c>
      <c r="B5" s="72">
        <v>7.15</v>
      </c>
      <c r="C5" s="3" t="s">
        <v>8</v>
      </c>
      <c r="D5" s="3" t="s">
        <v>51</v>
      </c>
      <c r="K5" s="36" t="s">
        <v>98</v>
      </c>
      <c r="O5" s="19">
        <f>IF(B9=0,B7,B9)</f>
        <v>1</v>
      </c>
      <c r="P5" s="20">
        <f>B8</f>
        <v>0.24</v>
      </c>
      <c r="Q5" s="20">
        <f>O5*P5</f>
        <v>0.24</v>
      </c>
      <c r="R5" s="20">
        <f>P5/2</f>
        <v>0.12</v>
      </c>
      <c r="S5" s="20">
        <f>Q5*R5</f>
        <v>0.0288</v>
      </c>
      <c r="T5" s="20">
        <f>2/3*P5</f>
        <v>0.15999999999999998</v>
      </c>
      <c r="U5" s="21">
        <f>S5*T5</f>
        <v>0.004607999999999999</v>
      </c>
      <c r="W5" s="7">
        <v>16</v>
      </c>
      <c r="X5" s="8">
        <v>1.9</v>
      </c>
      <c r="Y5" s="8">
        <v>29</v>
      </c>
      <c r="Z5" s="8">
        <v>3.5</v>
      </c>
      <c r="AA5" s="8">
        <v>1.9</v>
      </c>
      <c r="AB5" s="8">
        <v>3.5</v>
      </c>
      <c r="AC5" s="8">
        <v>2</v>
      </c>
      <c r="AD5" s="9">
        <v>2</v>
      </c>
    </row>
    <row r="6" spans="1:30" ht="12">
      <c r="A6" s="44" t="s">
        <v>50</v>
      </c>
      <c r="B6" s="72">
        <v>16</v>
      </c>
      <c r="C6" s="3" t="s">
        <v>8</v>
      </c>
      <c r="D6" s="3" t="s">
        <v>186</v>
      </c>
      <c r="K6" s="36" t="s">
        <v>96</v>
      </c>
      <c r="O6" s="19"/>
      <c r="P6" s="20"/>
      <c r="Q6" s="20">
        <f>B20/10000*B26</f>
        <v>0.017</v>
      </c>
      <c r="R6" s="20">
        <f>B22</f>
        <v>0.208</v>
      </c>
      <c r="S6" s="20">
        <f>Q6*R6</f>
        <v>0.003536</v>
      </c>
      <c r="T6" s="20">
        <f>R6</f>
        <v>0.208</v>
      </c>
      <c r="U6" s="81">
        <f>S6*T6</f>
        <v>0.000735488</v>
      </c>
      <c r="W6" s="7">
        <v>20</v>
      </c>
      <c r="X6" s="8">
        <v>2.2</v>
      </c>
      <c r="Y6" s="8">
        <v>30</v>
      </c>
      <c r="Z6" s="8">
        <v>3.5</v>
      </c>
      <c r="AA6" s="8">
        <v>2</v>
      </c>
      <c r="AB6" s="8">
        <v>3.5</v>
      </c>
      <c r="AC6" s="8">
        <v>2</v>
      </c>
      <c r="AD6" s="9">
        <v>2</v>
      </c>
    </row>
    <row r="7" spans="1:30" ht="12">
      <c r="A7" s="2" t="s">
        <v>0</v>
      </c>
      <c r="B7" s="72">
        <v>1</v>
      </c>
      <c r="C7" s="3" t="s">
        <v>8</v>
      </c>
      <c r="D7" s="3" t="s">
        <v>152</v>
      </c>
      <c r="K7" s="36" t="s">
        <v>97</v>
      </c>
      <c r="O7" s="19"/>
      <c r="P7" s="20"/>
      <c r="Q7" s="20">
        <f>B21/10000*B26</f>
        <v>0</v>
      </c>
      <c r="R7" s="20">
        <f>B23</f>
        <v>0</v>
      </c>
      <c r="S7" s="20">
        <f>Q7*R7</f>
        <v>0</v>
      </c>
      <c r="T7" s="20">
        <f>Q7</f>
        <v>0</v>
      </c>
      <c r="U7" s="21">
        <f>S7*T7</f>
        <v>0</v>
      </c>
      <c r="W7" s="7">
        <v>25</v>
      </c>
      <c r="X7" s="8">
        <v>2.6</v>
      </c>
      <c r="Y7" s="8">
        <v>31</v>
      </c>
      <c r="Z7" s="8">
        <v>3.5</v>
      </c>
      <c r="AA7" s="8">
        <v>2.1</v>
      </c>
      <c r="AB7" s="8">
        <v>3.5</v>
      </c>
      <c r="AC7" s="8">
        <v>2</v>
      </c>
      <c r="AD7" s="9">
        <v>2</v>
      </c>
    </row>
    <row r="8" spans="1:30" ht="13.5">
      <c r="A8" s="2" t="s">
        <v>1</v>
      </c>
      <c r="B8" s="72">
        <v>0.24</v>
      </c>
      <c r="C8" s="3" t="s">
        <v>8</v>
      </c>
      <c r="D8" s="3" t="s">
        <v>41</v>
      </c>
      <c r="F8" s="1" t="str">
        <f>"= 1/"&amp;ROUND(B5/B8,1)&amp;" de L"</f>
        <v>= 1/29,8 de L</v>
      </c>
      <c r="O8" s="19"/>
      <c r="P8" s="26" t="s">
        <v>101</v>
      </c>
      <c r="Q8" s="20">
        <f>SUM(Q4:Q7)</f>
        <v>0.257</v>
      </c>
      <c r="R8" s="20"/>
      <c r="S8" s="20">
        <f>SUM(S4:S7)</f>
        <v>0.032336</v>
      </c>
      <c r="T8" s="26" t="s">
        <v>160</v>
      </c>
      <c r="U8" s="21">
        <f>SUM(U4:U7)</f>
        <v>0.0053434879999999995</v>
      </c>
      <c r="W8" s="7">
        <v>30</v>
      </c>
      <c r="X8" s="8">
        <v>2.9</v>
      </c>
      <c r="Y8" s="8">
        <v>33</v>
      </c>
      <c r="Z8" s="8">
        <v>3.5</v>
      </c>
      <c r="AA8" s="8">
        <v>2.2</v>
      </c>
      <c r="AB8" s="8">
        <v>3.5</v>
      </c>
      <c r="AC8" s="8">
        <v>2</v>
      </c>
      <c r="AD8" s="9">
        <v>2</v>
      </c>
    </row>
    <row r="9" spans="1:30" ht="13.5">
      <c r="A9" s="2" t="s">
        <v>39</v>
      </c>
      <c r="B9" s="72"/>
      <c r="C9" s="3" t="s">
        <v>8</v>
      </c>
      <c r="D9" s="3" t="s">
        <v>99</v>
      </c>
      <c r="I9" s="64" t="s">
        <v>151</v>
      </c>
      <c r="O9" s="19"/>
      <c r="P9" s="26" t="s">
        <v>37</v>
      </c>
      <c r="Q9" s="20">
        <f>S8/Q8</f>
        <v>0.12582101167315174</v>
      </c>
      <c r="R9" s="20"/>
      <c r="S9" s="20"/>
      <c r="T9" s="20"/>
      <c r="U9" s="21"/>
      <c r="W9" s="10">
        <v>35</v>
      </c>
      <c r="X9" s="8">
        <v>3.2</v>
      </c>
      <c r="Y9" s="8">
        <v>34</v>
      </c>
      <c r="Z9" s="8">
        <v>3.5</v>
      </c>
      <c r="AA9" s="8">
        <v>2.25</v>
      </c>
      <c r="AB9" s="8">
        <v>3.5</v>
      </c>
      <c r="AC9" s="8">
        <v>2</v>
      </c>
      <c r="AD9" s="9">
        <v>2</v>
      </c>
    </row>
    <row r="10" spans="1:30" ht="13.5">
      <c r="A10" s="2" t="s">
        <v>40</v>
      </c>
      <c r="B10" s="72"/>
      <c r="C10" s="3" t="s">
        <v>8</v>
      </c>
      <c r="D10" s="3" t="s">
        <v>100</v>
      </c>
      <c r="I10" s="64" t="s">
        <v>154</v>
      </c>
      <c r="O10" s="22"/>
      <c r="P10" s="25" t="s">
        <v>38</v>
      </c>
      <c r="Q10" s="23">
        <f>P5-Q9</f>
        <v>0.11417898832684825</v>
      </c>
      <c r="R10" s="23"/>
      <c r="S10" s="23"/>
      <c r="T10" s="25" t="s">
        <v>47</v>
      </c>
      <c r="U10" s="82">
        <f>U8-Q8*Q9*Q9</f>
        <v>0.001274939766536965</v>
      </c>
      <c r="W10" s="10">
        <v>40</v>
      </c>
      <c r="X10" s="8">
        <v>3.5</v>
      </c>
      <c r="Y10" s="8">
        <v>35</v>
      </c>
      <c r="Z10" s="8">
        <v>3.5</v>
      </c>
      <c r="AA10" s="8">
        <v>2.3</v>
      </c>
      <c r="AB10" s="8">
        <v>3.5</v>
      </c>
      <c r="AC10" s="8">
        <v>2</v>
      </c>
      <c r="AD10" s="9">
        <v>2</v>
      </c>
    </row>
    <row r="11" spans="1:30" ht="13.5">
      <c r="A11" s="14" t="s">
        <v>32</v>
      </c>
      <c r="B11" s="83"/>
      <c r="C11" s="3" t="s">
        <v>10</v>
      </c>
      <c r="D11" s="75" t="s">
        <v>153</v>
      </c>
      <c r="I11" s="66" t="s">
        <v>125</v>
      </c>
      <c r="J11" s="48">
        <v>2</v>
      </c>
      <c r="K11" s="67" t="s">
        <v>126</v>
      </c>
      <c r="W11" s="7">
        <v>45</v>
      </c>
      <c r="X11" s="8">
        <v>3.8</v>
      </c>
      <c r="Y11" s="8">
        <v>36</v>
      </c>
      <c r="Z11" s="8">
        <v>3.5</v>
      </c>
      <c r="AA11" s="8">
        <v>2.4</v>
      </c>
      <c r="AB11" s="8">
        <v>3.5</v>
      </c>
      <c r="AC11" s="8">
        <v>2</v>
      </c>
      <c r="AD11" s="9">
        <v>2</v>
      </c>
    </row>
    <row r="12" spans="1:30" ht="13.5">
      <c r="A12" s="2" t="s">
        <v>3</v>
      </c>
      <c r="B12" s="85">
        <f>25*B8</f>
        <v>6</v>
      </c>
      <c r="C12" s="3" t="s">
        <v>7</v>
      </c>
      <c r="D12" s="3" t="s">
        <v>28</v>
      </c>
      <c r="I12" s="66" t="s">
        <v>127</v>
      </c>
      <c r="J12" s="49">
        <v>30</v>
      </c>
      <c r="K12" s="67" t="s">
        <v>150</v>
      </c>
      <c r="W12" s="7">
        <v>50</v>
      </c>
      <c r="X12" s="8">
        <v>4.1</v>
      </c>
      <c r="Y12" s="8">
        <v>37</v>
      </c>
      <c r="Z12" s="8">
        <v>3.5</v>
      </c>
      <c r="AA12" s="8">
        <v>2.45</v>
      </c>
      <c r="AB12" s="8">
        <v>3.5</v>
      </c>
      <c r="AC12" s="8">
        <v>2</v>
      </c>
      <c r="AD12" s="9">
        <v>2</v>
      </c>
    </row>
    <row r="13" spans="1:30" ht="13.5">
      <c r="A13" s="2" t="s">
        <v>4</v>
      </c>
      <c r="B13" s="72">
        <v>3</v>
      </c>
      <c r="C13" s="3" t="s">
        <v>7</v>
      </c>
      <c r="D13" s="3" t="s">
        <v>31</v>
      </c>
      <c r="I13" s="66" t="s">
        <v>128</v>
      </c>
      <c r="J13" s="50">
        <v>90</v>
      </c>
      <c r="K13" s="65" t="s">
        <v>147</v>
      </c>
      <c r="N13" s="47"/>
      <c r="O13" s="77"/>
      <c r="P13" s="47"/>
      <c r="W13" s="7">
        <v>55</v>
      </c>
      <c r="X13" s="8">
        <v>4.2</v>
      </c>
      <c r="Y13" s="8">
        <v>38</v>
      </c>
      <c r="Z13" s="8">
        <v>3.2</v>
      </c>
      <c r="AA13" s="8">
        <v>2.5</v>
      </c>
      <c r="AB13" s="8">
        <v>3.1</v>
      </c>
      <c r="AC13" s="8">
        <v>2.2</v>
      </c>
      <c r="AD13" s="9">
        <v>1.75</v>
      </c>
    </row>
    <row r="14" spans="1:30" ht="13.5">
      <c r="A14" s="2" t="s">
        <v>5</v>
      </c>
      <c r="B14" s="72"/>
      <c r="C14" s="3" t="s">
        <v>7</v>
      </c>
      <c r="D14" s="63" t="s">
        <v>29</v>
      </c>
      <c r="I14" s="66" t="s">
        <v>129</v>
      </c>
      <c r="J14" s="76">
        <v>10000</v>
      </c>
      <c r="K14" s="65" t="s">
        <v>148</v>
      </c>
      <c r="N14" s="47"/>
      <c r="O14" s="78" t="s">
        <v>134</v>
      </c>
      <c r="P14" s="53">
        <f>NEQX(B24,B7,B8,B9,B10,J14,J13,J15,J16,B32,B6,4)</f>
        <v>599.9652790687489</v>
      </c>
      <c r="Q14" s="47" t="s">
        <v>135</v>
      </c>
      <c r="W14" s="7">
        <v>60</v>
      </c>
      <c r="X14" s="8">
        <v>4.4</v>
      </c>
      <c r="Y14" s="8">
        <v>39</v>
      </c>
      <c r="Z14" s="8">
        <v>3</v>
      </c>
      <c r="AA14" s="8">
        <v>2.6</v>
      </c>
      <c r="AB14" s="8">
        <v>2.9</v>
      </c>
      <c r="AC14" s="8">
        <v>2.3</v>
      </c>
      <c r="AD14" s="9">
        <v>1.6</v>
      </c>
    </row>
    <row r="15" spans="1:30" ht="13.5">
      <c r="A15" s="2" t="s">
        <v>6</v>
      </c>
      <c r="B15" s="86">
        <v>4</v>
      </c>
      <c r="C15" s="3" t="s">
        <v>7</v>
      </c>
      <c r="D15" s="3" t="s">
        <v>30</v>
      </c>
      <c r="I15" s="66" t="s">
        <v>130</v>
      </c>
      <c r="J15" s="50" t="s">
        <v>142</v>
      </c>
      <c r="K15" s="68" t="s">
        <v>149</v>
      </c>
      <c r="O15" s="79" t="s">
        <v>136</v>
      </c>
      <c r="P15" s="54">
        <f>NEQX(B24,B7,B8,B9,B10,J14,J13,J15,J16,B32,B6,2)</f>
        <v>17.145753643273405</v>
      </c>
      <c r="Q15" s="51" t="s">
        <v>137</v>
      </c>
      <c r="W15" s="7">
        <v>70</v>
      </c>
      <c r="X15" s="8">
        <v>4.6</v>
      </c>
      <c r="Y15" s="8">
        <v>41</v>
      </c>
      <c r="Z15" s="8">
        <v>2.8</v>
      </c>
      <c r="AA15" s="8">
        <v>2.7</v>
      </c>
      <c r="AB15" s="8">
        <v>2.7</v>
      </c>
      <c r="AC15" s="8">
        <v>2.4</v>
      </c>
      <c r="AD15" s="9">
        <v>1.45</v>
      </c>
    </row>
    <row r="16" spans="1:30" ht="13.5">
      <c r="A16" s="2" t="s">
        <v>161</v>
      </c>
      <c r="B16" s="92">
        <f>R34</f>
        <v>26.839312500000002</v>
      </c>
      <c r="C16" s="3" t="s">
        <v>22</v>
      </c>
      <c r="D16" s="63" t="s">
        <v>165</v>
      </c>
      <c r="I16" s="66" t="s">
        <v>132</v>
      </c>
      <c r="J16" s="52">
        <v>50</v>
      </c>
      <c r="K16" s="68" t="s">
        <v>133</v>
      </c>
      <c r="O16" s="66" t="s">
        <v>138</v>
      </c>
      <c r="P16" s="54">
        <f>NEQX(B24,B7,B8,B9,B10,J14,J13,J15,J16,B32,B6,1)</f>
        <v>11.664695770224348</v>
      </c>
      <c r="Q16" s="55" t="s">
        <v>139</v>
      </c>
      <c r="W16" s="7">
        <v>80</v>
      </c>
      <c r="X16" s="8">
        <v>4.8</v>
      </c>
      <c r="Y16" s="8">
        <v>42</v>
      </c>
      <c r="Z16" s="8">
        <v>2.8</v>
      </c>
      <c r="AA16" s="8">
        <v>2.8</v>
      </c>
      <c r="AB16" s="8">
        <v>2.6</v>
      </c>
      <c r="AC16" s="8">
        <v>2.5</v>
      </c>
      <c r="AD16" s="9">
        <v>1.4</v>
      </c>
    </row>
    <row r="17" spans="1:30" ht="13.5">
      <c r="A17" s="2" t="s">
        <v>162</v>
      </c>
      <c r="B17" s="93">
        <f>R35</f>
        <v>13.419656250000001</v>
      </c>
      <c r="C17" s="3" t="s">
        <v>22</v>
      </c>
      <c r="D17" s="3" t="s">
        <v>167</v>
      </c>
      <c r="O17" s="2" t="s">
        <v>155</v>
      </c>
      <c r="P17" s="80">
        <f>NEQX(B24,B7,B8,B9,B10,J14,J13,J15,J16,B32,B6,5)</f>
        <v>240</v>
      </c>
      <c r="Q17" s="3" t="s">
        <v>156</v>
      </c>
      <c r="W17" s="11">
        <v>90</v>
      </c>
      <c r="X17" s="12">
        <v>5</v>
      </c>
      <c r="Y17" s="12">
        <v>44</v>
      </c>
      <c r="Z17" s="12">
        <v>2.8</v>
      </c>
      <c r="AA17" s="12">
        <v>2.8</v>
      </c>
      <c r="AB17" s="12">
        <v>2.6</v>
      </c>
      <c r="AC17" s="12">
        <v>2.6</v>
      </c>
      <c r="AD17" s="13">
        <v>1.4</v>
      </c>
    </row>
    <row r="18" spans="1:17" ht="13.5">
      <c r="A18" s="2" t="s">
        <v>163</v>
      </c>
      <c r="B18" s="93">
        <f>R36</f>
        <v>0</v>
      </c>
      <c r="C18" s="3" t="s">
        <v>22</v>
      </c>
      <c r="D18" s="63" t="s">
        <v>168</v>
      </c>
      <c r="J18"/>
      <c r="K18"/>
      <c r="L18"/>
      <c r="O18" s="78" t="s">
        <v>19</v>
      </c>
      <c r="P18" s="54">
        <f>NEQX(B24,B7,B8,B9,B10,J14,J13,J15,J16,B32,B6,3)</f>
        <v>1.8290493511401118</v>
      </c>
      <c r="Q18" s="55" t="s">
        <v>140</v>
      </c>
    </row>
    <row r="19" spans="1:26" ht="13.5">
      <c r="A19" s="2" t="s">
        <v>164</v>
      </c>
      <c r="B19" s="94">
        <f>R37</f>
        <v>17.892875</v>
      </c>
      <c r="C19" s="3" t="s">
        <v>22</v>
      </c>
      <c r="D19" s="3" t="s">
        <v>166</v>
      </c>
      <c r="O19" s="78" t="s">
        <v>82</v>
      </c>
      <c r="P19" s="56">
        <f>((J12-J11)/(P14+J12-J11))^0.3</f>
        <v>0.39333873784649304</v>
      </c>
      <c r="Q19" s="55" t="s">
        <v>141</v>
      </c>
      <c r="W19" s="27">
        <v>1</v>
      </c>
      <c r="Z19" s="2"/>
    </row>
    <row r="20" spans="1:23" ht="13.5">
      <c r="A20" s="2" t="s">
        <v>43</v>
      </c>
      <c r="B20" s="84">
        <v>10</v>
      </c>
      <c r="C20" s="3" t="s">
        <v>42</v>
      </c>
      <c r="D20" s="63" t="str">
        <f>"section des armatures inférieures à mi-travée  = "&amp;ROUND(B20/B7/B22/100,3)&amp;"%"</f>
        <v>section des armatures inférieures à mi-travée  = 0,481%</v>
      </c>
      <c r="J20" s="34" t="s">
        <v>90</v>
      </c>
      <c r="L20" s="34" t="s">
        <v>172</v>
      </c>
      <c r="Q20" s="15" t="s">
        <v>173</v>
      </c>
      <c r="W20" s="28">
        <v>2</v>
      </c>
    </row>
    <row r="21" spans="1:16" ht="13.5">
      <c r="A21" s="2" t="s">
        <v>54</v>
      </c>
      <c r="B21" s="72">
        <v>0</v>
      </c>
      <c r="C21" s="3" t="s">
        <v>42</v>
      </c>
      <c r="D21" s="63" t="str">
        <f>"section des armatures supérieures à mi-travée =  "&amp;ROUND(B21/B7/(B8-B23)/100,3)&amp;"%"</f>
        <v>section des armatures supérieures à mi-travée =  0%</v>
      </c>
      <c r="I21" s="14" t="s">
        <v>89</v>
      </c>
      <c r="J21" s="97">
        <f>B66</f>
        <v>12.625942582562502</v>
      </c>
      <c r="K21" s="3" t="s">
        <v>57</v>
      </c>
      <c r="L21" s="33">
        <f>IF(B5&lt;7,B5*2,(B5-7)+14)</f>
        <v>14.15</v>
      </c>
      <c r="M21" s="3" t="s">
        <v>57</v>
      </c>
      <c r="N21" s="47"/>
      <c r="O21" s="47"/>
      <c r="P21" s="60" t="s">
        <v>143</v>
      </c>
    </row>
    <row r="22" spans="1:16" ht="12.75">
      <c r="A22" s="2" t="s">
        <v>59</v>
      </c>
      <c r="B22" s="72">
        <v>0.208</v>
      </c>
      <c r="C22" s="3" t="s">
        <v>8</v>
      </c>
      <c r="D22" s="3" t="s">
        <v>61</v>
      </c>
      <c r="I22" s="2" t="s">
        <v>91</v>
      </c>
      <c r="J22" s="37" t="str">
        <f>B67</f>
        <v>1/566°</v>
      </c>
      <c r="P22" s="61" t="s">
        <v>144</v>
      </c>
    </row>
    <row r="23" spans="1:16" ht="12.75">
      <c r="A23" s="2" t="s">
        <v>60</v>
      </c>
      <c r="B23" s="72"/>
      <c r="C23" s="3" t="s">
        <v>8</v>
      </c>
      <c r="D23" s="3" t="s">
        <v>62</v>
      </c>
      <c r="I23" s="2"/>
      <c r="J23" s="98" t="str">
        <f>C67</f>
        <v>OK</v>
      </c>
      <c r="P23" s="61" t="s">
        <v>131</v>
      </c>
    </row>
    <row r="24" spans="1:16" ht="13.5">
      <c r="A24" s="2" t="s">
        <v>25</v>
      </c>
      <c r="B24" s="72">
        <v>30</v>
      </c>
      <c r="C24" s="3" t="s">
        <v>10</v>
      </c>
      <c r="D24" s="3" t="s">
        <v>55</v>
      </c>
      <c r="L24" s="47"/>
      <c r="M24" s="47"/>
      <c r="P24" s="61" t="s">
        <v>142</v>
      </c>
    </row>
    <row r="25" spans="2:28" ht="12.75">
      <c r="B25" s="73">
        <v>1</v>
      </c>
      <c r="D25" s="15" t="s">
        <v>102</v>
      </c>
      <c r="M25" s="47"/>
      <c r="P25" s="61" t="s">
        <v>145</v>
      </c>
      <c r="AB25" s="102"/>
    </row>
    <row r="26" spans="1:28" ht="12.75">
      <c r="A26" s="2" t="s">
        <v>17</v>
      </c>
      <c r="B26" s="73">
        <v>17</v>
      </c>
      <c r="C26" s="3"/>
      <c r="D26" s="3" t="s">
        <v>157</v>
      </c>
      <c r="J26" s="58" t="str">
        <f>"   valeur proposée : "&amp;ROUND(P15,2)</f>
        <v>   valeur proposée : 17,15</v>
      </c>
      <c r="K26" s="69"/>
      <c r="L26" s="59"/>
      <c r="M26" s="47"/>
      <c r="P26" s="62" t="s">
        <v>146</v>
      </c>
      <c r="AB26" s="102"/>
    </row>
    <row r="27" spans="1:12" ht="12.75">
      <c r="A27" s="14" t="s">
        <v>19</v>
      </c>
      <c r="B27" s="73">
        <v>1.8</v>
      </c>
      <c r="D27" s="3" t="s">
        <v>158</v>
      </c>
      <c r="I27"/>
      <c r="J27" s="58" t="str">
        <f>"   valeur proposée : "&amp;ROUND(P18,3)</f>
        <v>   valeur proposée : 1,829</v>
      </c>
      <c r="K27" s="70"/>
      <c r="L27" s="59"/>
    </row>
    <row r="28" spans="1:14" ht="12.75">
      <c r="A28" s="14" t="s">
        <v>82</v>
      </c>
      <c r="B28" s="72">
        <v>0.39</v>
      </c>
      <c r="D28" s="15" t="s">
        <v>92</v>
      </c>
      <c r="J28" s="57" t="str">
        <f>"   valeur proposée : "&amp;ROUND(P19,3)</f>
        <v>   valeur proposée : 0,393</v>
      </c>
      <c r="K28" s="70"/>
      <c r="L28" s="59"/>
      <c r="N28"/>
    </row>
    <row r="29" spans="1:23" ht="15.75" thickBot="1">
      <c r="A29" s="89" t="s">
        <v>170</v>
      </c>
      <c r="B29" s="74">
        <v>1</v>
      </c>
      <c r="C29" s="15" t="s">
        <v>169</v>
      </c>
      <c r="D29" s="15"/>
      <c r="E29" s="90" t="s">
        <v>171</v>
      </c>
      <c r="J29" s="87"/>
      <c r="K29" s="88"/>
      <c r="L29" s="20"/>
      <c r="W29" s="3" t="s">
        <v>48</v>
      </c>
    </row>
    <row r="30" spans="23:25" ht="14.25" thickTop="1">
      <c r="W30" s="29" t="s">
        <v>46</v>
      </c>
      <c r="X30" s="30" t="s">
        <v>45</v>
      </c>
      <c r="Y30" s="31" t="s">
        <v>44</v>
      </c>
    </row>
    <row r="31" spans="1:25" ht="12">
      <c r="A31" s="2" t="s">
        <v>68</v>
      </c>
      <c r="B31" s="38">
        <f>(Q4+Q5)*B11*1000</f>
        <v>0</v>
      </c>
      <c r="C31" s="3" t="s">
        <v>69</v>
      </c>
      <c r="D31" s="3" t="s">
        <v>70</v>
      </c>
      <c r="W31" s="16">
        <v>0</v>
      </c>
      <c r="X31" s="17">
        <v>0.125</v>
      </c>
      <c r="Y31" s="18">
        <v>0.1562</v>
      </c>
    </row>
    <row r="32" spans="1:25" ht="13.5">
      <c r="A32" s="2" t="s">
        <v>20</v>
      </c>
      <c r="B32" s="39">
        <f>VLOOKUP(B24,tabfck,3)</f>
        <v>33</v>
      </c>
      <c r="C32" s="3" t="s">
        <v>18</v>
      </c>
      <c r="M32" s="20"/>
      <c r="P32" s="91" t="s">
        <v>174</v>
      </c>
      <c r="Q32" s="101">
        <v>0.6</v>
      </c>
      <c r="W32" s="19">
        <v>0.05</v>
      </c>
      <c r="X32" s="20">
        <v>0.125</v>
      </c>
      <c r="Y32" s="21">
        <v>0.1545</v>
      </c>
    </row>
    <row r="33" spans="1:25" ht="13.5">
      <c r="A33" s="2" t="s">
        <v>24</v>
      </c>
      <c r="B33" s="39">
        <f>B32</f>
        <v>33</v>
      </c>
      <c r="C33" s="3" t="s">
        <v>18</v>
      </c>
      <c r="D33" s="3" t="str">
        <f>"(n = "&amp;ROUND(200/B33,2)&amp;")"</f>
        <v>(n = 6,06)</v>
      </c>
      <c r="E33" s="3" t="s">
        <v>113</v>
      </c>
      <c r="I33" s="2" t="s">
        <v>38</v>
      </c>
      <c r="J33" s="41">
        <f>Q10</f>
        <v>0.11417898832684825</v>
      </c>
      <c r="K33" s="3" t="s">
        <v>8</v>
      </c>
      <c r="M33" s="20"/>
      <c r="P33" s="33" t="s">
        <v>175</v>
      </c>
      <c r="Q33" s="33" t="s">
        <v>176</v>
      </c>
      <c r="R33" s="33" t="s">
        <v>177</v>
      </c>
      <c r="W33" s="19">
        <v>0.1</v>
      </c>
      <c r="X33" s="20">
        <v>0.125</v>
      </c>
      <c r="Y33" s="21">
        <v>0.1535</v>
      </c>
    </row>
    <row r="34" spans="1:25" ht="13.5">
      <c r="A34" s="2" t="s">
        <v>23</v>
      </c>
      <c r="B34" s="39">
        <f>B32/(1+B27)</f>
        <v>11.785714285714286</v>
      </c>
      <c r="C34" s="3" t="s">
        <v>18</v>
      </c>
      <c r="D34" s="3" t="str">
        <f>"(n = "&amp;ROUND(200/B34,2)&amp;")"</f>
        <v>(n = 16,97)</v>
      </c>
      <c r="E34" s="3" t="s">
        <v>114</v>
      </c>
      <c r="I34" s="2" t="s">
        <v>105</v>
      </c>
      <c r="J34" s="39">
        <f>Q8</f>
        <v>0.257</v>
      </c>
      <c r="K34" s="3" t="s">
        <v>106</v>
      </c>
      <c r="M34" s="20"/>
      <c r="O34" s="2" t="s">
        <v>161</v>
      </c>
      <c r="P34" s="95">
        <f>B12*B$5^2/8</f>
        <v>38.341875</v>
      </c>
      <c r="Q34" s="95">
        <f>Q$32*P34</f>
        <v>23.005125</v>
      </c>
      <c r="R34" s="95">
        <f>P34-Q34/2</f>
        <v>26.839312500000002</v>
      </c>
      <c r="W34" s="19">
        <v>0.15</v>
      </c>
      <c r="X34" s="20">
        <v>0.125</v>
      </c>
      <c r="Y34" s="21">
        <v>0.1515</v>
      </c>
    </row>
    <row r="35" spans="1:25" ht="13.5">
      <c r="A35" s="2" t="s">
        <v>103</v>
      </c>
      <c r="B35" s="39">
        <f>VLOOKUP(B24,tabfck,2)*IF(B25=1,MAX(1,(1.6-B8)*B29),1)</f>
        <v>3.944</v>
      </c>
      <c r="C35" s="3" t="s">
        <v>10</v>
      </c>
      <c r="D35" s="3" t="s">
        <v>104</v>
      </c>
      <c r="I35" s="2" t="s">
        <v>108</v>
      </c>
      <c r="J35" s="40">
        <f>U10</f>
        <v>0.001274939766536965</v>
      </c>
      <c r="K35" s="3" t="s">
        <v>107</v>
      </c>
      <c r="O35" s="2" t="s">
        <v>162</v>
      </c>
      <c r="P35" s="99">
        <f>B13*B$5^2/8</f>
        <v>19.1709375</v>
      </c>
      <c r="Q35" s="99">
        <f>Q$32*P35</f>
        <v>11.5025625</v>
      </c>
      <c r="R35" s="99">
        <f>P35-Q35/2</f>
        <v>13.419656250000001</v>
      </c>
      <c r="W35" s="19">
        <v>0.2</v>
      </c>
      <c r="X35" s="20">
        <v>0.1247</v>
      </c>
      <c r="Y35" s="21">
        <v>0.1495</v>
      </c>
    </row>
    <row r="36" spans="1:25" ht="13.5">
      <c r="A36" s="2" t="s">
        <v>33</v>
      </c>
      <c r="B36" s="40">
        <f>(B35+B11)*U10/Q10*1000</f>
        <v>44.03929753544166</v>
      </c>
      <c r="C36" s="3" t="s">
        <v>22</v>
      </c>
      <c r="D36" s="15" t="s">
        <v>112</v>
      </c>
      <c r="O36" s="2" t="s">
        <v>163</v>
      </c>
      <c r="P36" s="99">
        <f>B14*B$5^2/8</f>
        <v>0</v>
      </c>
      <c r="Q36" s="99">
        <f>Q$32*P36</f>
        <v>0</v>
      </c>
      <c r="R36" s="99">
        <f>P36-Q36/2</f>
        <v>0</v>
      </c>
      <c r="W36" s="19">
        <v>0.25</v>
      </c>
      <c r="X36" s="20">
        <v>0.1234</v>
      </c>
      <c r="Y36" s="21">
        <v>0.1477</v>
      </c>
    </row>
    <row r="37" spans="1:25" ht="13.5">
      <c r="A37" s="2" t="s">
        <v>93</v>
      </c>
      <c r="B37" s="22" t="s">
        <v>123</v>
      </c>
      <c r="C37" s="33" t="s">
        <v>4</v>
      </c>
      <c r="D37" s="31" t="s">
        <v>5</v>
      </c>
      <c r="E37" s="33" t="s">
        <v>6</v>
      </c>
      <c r="J37" s="1" t="s">
        <v>122</v>
      </c>
      <c r="O37" s="2" t="s">
        <v>164</v>
      </c>
      <c r="P37" s="100">
        <f>B15*B$5^2/8</f>
        <v>25.56125</v>
      </c>
      <c r="Q37" s="100">
        <f>Q$32*P37</f>
        <v>15.33675</v>
      </c>
      <c r="R37" s="100">
        <f>P37-Q37/2</f>
        <v>17.892875</v>
      </c>
      <c r="W37" s="19">
        <v>0.3</v>
      </c>
      <c r="X37" s="20">
        <v>0.1208</v>
      </c>
      <c r="Y37" s="21">
        <v>0.1442</v>
      </c>
    </row>
    <row r="38" spans="1:25" ht="12">
      <c r="A38" s="2" t="s">
        <v>26</v>
      </c>
      <c r="B38" s="41">
        <f>B12+J40</f>
        <v>6</v>
      </c>
      <c r="C38" s="41">
        <f>B13</f>
        <v>3</v>
      </c>
      <c r="D38" s="41">
        <f>B14</f>
        <v>0</v>
      </c>
      <c r="E38" s="41">
        <f>B15</f>
        <v>4</v>
      </c>
      <c r="F38" s="3" t="s">
        <v>27</v>
      </c>
      <c r="J38" s="1" t="s">
        <v>121</v>
      </c>
      <c r="W38" s="19">
        <v>0.35</v>
      </c>
      <c r="X38" s="20">
        <v>0.117</v>
      </c>
      <c r="Y38" s="21">
        <v>0.139</v>
      </c>
    </row>
    <row r="39" spans="1:25" ht="13.5">
      <c r="A39" s="2" t="s">
        <v>21</v>
      </c>
      <c r="B39" s="40">
        <f>B16</f>
        <v>26.839312500000002</v>
      </c>
      <c r="C39" s="40">
        <f>B17</f>
        <v>13.419656250000001</v>
      </c>
      <c r="D39" s="40">
        <f>B18</f>
        <v>0</v>
      </c>
      <c r="E39" s="40">
        <f>B19</f>
        <v>17.892875</v>
      </c>
      <c r="F39" s="3" t="s">
        <v>118</v>
      </c>
      <c r="I39" s="14" t="s">
        <v>59</v>
      </c>
      <c r="J39" s="27">
        <f>(B8/2-B23)*1</f>
        <v>0.12</v>
      </c>
      <c r="K39" s="3" t="s">
        <v>8</v>
      </c>
      <c r="W39" s="19">
        <v>0.4</v>
      </c>
      <c r="X39" s="20">
        <v>0.112</v>
      </c>
      <c r="Y39" s="21">
        <v>0.1324</v>
      </c>
    </row>
    <row r="40" spans="9:25" ht="13.5">
      <c r="I40" s="2" t="s">
        <v>120</v>
      </c>
      <c r="J40" s="45">
        <f>IF(k=2,-8*B11*B8*B7*J39*1000/B5^2,0)</f>
        <v>0</v>
      </c>
      <c r="K40" s="3" t="s">
        <v>7</v>
      </c>
      <c r="O40" s="2" t="s">
        <v>178</v>
      </c>
      <c r="P40" s="103">
        <f>(1.35*B12+1.35*B13+1.35*B14+1.5*B15)*B5^2/8</f>
        <v>115.98417187500002</v>
      </c>
      <c r="Q40" s="1" t="s">
        <v>184</v>
      </c>
      <c r="W40" s="19">
        <v>0.45</v>
      </c>
      <c r="X40" s="20">
        <v>0.1062</v>
      </c>
      <c r="Y40" s="21">
        <v>0.1249</v>
      </c>
    </row>
    <row r="41" spans="1:25" ht="13.5">
      <c r="A41" s="2" t="s">
        <v>64</v>
      </c>
      <c r="B41" s="41">
        <f>SUM(B39:E39)</f>
        <v>58.15184375</v>
      </c>
      <c r="C41" s="3" t="s">
        <v>22</v>
      </c>
      <c r="D41" s="46">
        <f>IF(B41&lt;B36,"inférieur au moment de fissuration","")</f>
      </c>
      <c r="I41" s="2"/>
      <c r="P41" s="1" t="s">
        <v>176</v>
      </c>
      <c r="Q41" s="1" t="s">
        <v>179</v>
      </c>
      <c r="W41" s="19">
        <v>0.5</v>
      </c>
      <c r="X41" s="20">
        <v>0.0999</v>
      </c>
      <c r="Y41" s="21">
        <v>0.1167</v>
      </c>
    </row>
    <row r="42" spans="1:25" ht="13.5">
      <c r="A42" s="2" t="s">
        <v>75</v>
      </c>
      <c r="B42" s="39">
        <f>SUM(B39:D39)</f>
        <v>40.25896875</v>
      </c>
      <c r="C42" s="3" t="s">
        <v>22</v>
      </c>
      <c r="O42" s="2" t="s">
        <v>183</v>
      </c>
      <c r="P42" s="41">
        <f>-P40*Q32</f>
        <v>-69.59050312500001</v>
      </c>
      <c r="Q42" s="95">
        <f>P40-Q32*P40/2</f>
        <v>81.18892031250002</v>
      </c>
      <c r="W42" s="19">
        <v>0.55</v>
      </c>
      <c r="X42" s="20">
        <v>0.0934</v>
      </c>
      <c r="Y42" s="21">
        <v>0.1082</v>
      </c>
    </row>
    <row r="43" spans="1:25" ht="13.5">
      <c r="A43" s="2" t="s">
        <v>71</v>
      </c>
      <c r="B43" s="39">
        <f>IF(B45=0,B44,finer(B41,B31,B8,B7,B9,B10,B20,B21,B22,B23,B26))</f>
        <v>0.0004379564361398427</v>
      </c>
      <c r="C43" s="3" t="s">
        <v>72</v>
      </c>
      <c r="D43" s="3" t="s">
        <v>124</v>
      </c>
      <c r="O43" s="14" t="s">
        <v>8</v>
      </c>
      <c r="P43" s="39">
        <f>-P42/1000/B7/B22^2/B24*1.5</f>
        <v>0.08042541503906253</v>
      </c>
      <c r="Q43" s="104">
        <f>Q42/B7/B22^2/B24*1.5/1000</f>
        <v>0.09382965087890628</v>
      </c>
      <c r="W43" s="19">
        <v>0.6</v>
      </c>
      <c r="X43" s="20">
        <v>0.0869</v>
      </c>
      <c r="Y43" s="21">
        <v>0.0998</v>
      </c>
    </row>
    <row r="44" spans="1:25" ht="13.5">
      <c r="A44" s="2" t="s">
        <v>67</v>
      </c>
      <c r="B44" s="39">
        <f>U10</f>
        <v>0.001274939766536965</v>
      </c>
      <c r="C44" s="3" t="s">
        <v>72</v>
      </c>
      <c r="D44" s="3" t="s">
        <v>73</v>
      </c>
      <c r="O44" s="14" t="s">
        <v>180</v>
      </c>
      <c r="P44" s="104">
        <f>1.25*(1-SQRT(1-2*P43))</f>
        <v>0.10493643058434102</v>
      </c>
      <c r="Q44" s="104">
        <f>1.25*(1-SQRT(1-2*Q43))</f>
        <v>0.1233756877275291</v>
      </c>
      <c r="W44" s="19">
        <v>0.65</v>
      </c>
      <c r="X44" s="20">
        <v>0.0804</v>
      </c>
      <c r="Y44" s="21">
        <v>0.0916</v>
      </c>
    </row>
    <row r="45" spans="1:25" ht="13.5">
      <c r="A45" s="14" t="s">
        <v>81</v>
      </c>
      <c r="B45" s="39">
        <f>IF(B41&gt;B36,1-(B36/B41)^0.5,0)</f>
        <v>0.1297611911469777</v>
      </c>
      <c r="O45" s="2" t="s">
        <v>181</v>
      </c>
      <c r="P45" s="39">
        <f>$B22*(1-0.4*P44)</f>
        <v>0.19926928897538282</v>
      </c>
      <c r="Q45" s="39">
        <f>$B22*(1-0.4*Q44)</f>
        <v>0.19773514278106957</v>
      </c>
      <c r="W45" s="19">
        <v>0.7</v>
      </c>
      <c r="X45" s="20">
        <v>0.0742</v>
      </c>
      <c r="Y45" s="21">
        <v>0.0838</v>
      </c>
    </row>
    <row r="46" spans="1:25" ht="13.5">
      <c r="A46" s="2" t="s">
        <v>65</v>
      </c>
      <c r="B46" s="39">
        <f>GK*B5^2/10*(B42/B34/B43+E39/B33/B43)/1000</f>
        <v>46.20300459232704</v>
      </c>
      <c r="C46" s="3" t="s">
        <v>57</v>
      </c>
      <c r="D46" s="3" t="s">
        <v>58</v>
      </c>
      <c r="O46" s="2" t="s">
        <v>182</v>
      </c>
      <c r="P46" s="100">
        <f>-P42/P45/434.8*10</f>
        <v>8.031932865333186</v>
      </c>
      <c r="Q46" s="100">
        <f>Q42/Q45/434.8*10</f>
        <v>9.4432909097796</v>
      </c>
      <c r="W46" s="19">
        <v>0.75</v>
      </c>
      <c r="X46" s="20">
        <v>0.0683</v>
      </c>
      <c r="Y46" s="21">
        <v>0.0764</v>
      </c>
    </row>
    <row r="47" spans="1:30" ht="13.5">
      <c r="A47" s="2" t="s">
        <v>66</v>
      </c>
      <c r="B47" s="39">
        <f>GK*B5^2/10*(B42/B34/B44+E39/B33/B44)/1000</f>
        <v>15.871262126501135</v>
      </c>
      <c r="C47" s="3" t="s">
        <v>57</v>
      </c>
      <c r="D47" s="3" t="s">
        <v>74</v>
      </c>
      <c r="W47" s="19">
        <v>0.8</v>
      </c>
      <c r="X47" s="20">
        <v>0.0627</v>
      </c>
      <c r="Y47" s="21">
        <v>0.0694</v>
      </c>
      <c r="AC47" s="3"/>
      <c r="AD47" s="3"/>
    </row>
    <row r="48" spans="1:25" ht="13.5">
      <c r="A48" s="2" t="s">
        <v>84</v>
      </c>
      <c r="B48" s="40">
        <f>B46*B45+B47*(1-B45)</f>
        <v>19.80714515843007</v>
      </c>
      <c r="W48" s="19">
        <v>0.85</v>
      </c>
      <c r="X48" s="20">
        <v>0.0575</v>
      </c>
      <c r="Y48" s="21">
        <v>0.063</v>
      </c>
    </row>
    <row r="49" spans="23:25" ht="12">
      <c r="W49" s="19">
        <v>0.9</v>
      </c>
      <c r="X49" s="20">
        <v>0.0527</v>
      </c>
      <c r="Y49" s="21">
        <v>0.0571</v>
      </c>
    </row>
    <row r="50" spans="1:25" ht="13.5">
      <c r="A50" s="2" t="s">
        <v>78</v>
      </c>
      <c r="B50" s="41">
        <f>B39+C39</f>
        <v>40.25896875</v>
      </c>
      <c r="C50" s="3" t="s">
        <v>22</v>
      </c>
      <c r="D50" s="3" t="s">
        <v>115</v>
      </c>
      <c r="W50" s="19">
        <v>0.95</v>
      </c>
      <c r="X50" s="20">
        <v>0.0483</v>
      </c>
      <c r="Y50" s="21">
        <v>0.0517</v>
      </c>
    </row>
    <row r="51" spans="1:25" ht="13.5">
      <c r="A51" s="14" t="s">
        <v>79</v>
      </c>
      <c r="B51" s="39">
        <f>IF(B50&gt;B36,1-(B36/B50)^0.5,0)</f>
        <v>0</v>
      </c>
      <c r="D51" s="3" t="s">
        <v>116</v>
      </c>
      <c r="Q51" s="1" t="s">
        <v>56</v>
      </c>
      <c r="W51" s="22">
        <v>1</v>
      </c>
      <c r="X51" s="23">
        <v>0.0442</v>
      </c>
      <c r="Y51" s="24">
        <v>0.0468</v>
      </c>
    </row>
    <row r="52" spans="1:17" ht="13.5">
      <c r="A52" s="2" t="s">
        <v>71</v>
      </c>
      <c r="B52" s="39">
        <f>IF(B51=0,B53,finer(B50,B31,B8,B7,B9,B10,B20,B21,B22,B23,B26))</f>
        <v>0.001274939766536965</v>
      </c>
      <c r="C52" s="3" t="s">
        <v>72</v>
      </c>
      <c r="P52" s="2" t="s">
        <v>53</v>
      </c>
      <c r="Q52" s="27">
        <f>B5/B6</f>
        <v>0.446875</v>
      </c>
    </row>
    <row r="53" spans="1:17" ht="13.5">
      <c r="A53" s="2" t="s">
        <v>67</v>
      </c>
      <c r="B53" s="39">
        <f>B44</f>
        <v>0.001274939766536965</v>
      </c>
      <c r="C53" s="3" t="s">
        <v>72</v>
      </c>
      <c r="P53" s="2" t="s">
        <v>109</v>
      </c>
      <c r="Q53" s="32">
        <f>finterpol(Q52,tabr,1)</f>
        <v>0.1065625</v>
      </c>
    </row>
    <row r="54" spans="1:17" ht="13.5">
      <c r="A54" s="2" t="s">
        <v>76</v>
      </c>
      <c r="B54" s="39">
        <f>GK*B5^2/10*(B50/B33/B52)/1000</f>
        <v>4.8918273677572</v>
      </c>
      <c r="C54" s="3" t="s">
        <v>57</v>
      </c>
      <c r="P54" s="2" t="s">
        <v>110</v>
      </c>
      <c r="Q54" s="28">
        <f>finterpol(Q52,tabr,2)</f>
        <v>0.12536875</v>
      </c>
    </row>
    <row r="55" spans="1:17" ht="13.5">
      <c r="A55" s="2" t="s">
        <v>77</v>
      </c>
      <c r="B55" s="39">
        <f>GK*B5^2/10*(B50/B33/B53)/1000</f>
        <v>4.8918273677572</v>
      </c>
      <c r="C55" s="3" t="s">
        <v>57</v>
      </c>
      <c r="P55" s="2" t="s">
        <v>111</v>
      </c>
      <c r="Q55" s="33">
        <f>IF(k=2,10*Q54/12/Q53,1)</f>
        <v>1</v>
      </c>
    </row>
    <row r="56" spans="1:23" ht="13.5">
      <c r="A56" s="2" t="s">
        <v>85</v>
      </c>
      <c r="B56" s="40">
        <f>B54*B51+B55*(1-B51)</f>
        <v>4.8918273677572</v>
      </c>
      <c r="R56"/>
      <c r="S56"/>
      <c r="T56"/>
      <c r="U56"/>
      <c r="V56"/>
      <c r="W56"/>
    </row>
    <row r="57" spans="1:23" ht="12.75">
      <c r="A57" s="2"/>
      <c r="R57"/>
      <c r="S57"/>
      <c r="T57"/>
      <c r="U57"/>
      <c r="V57"/>
      <c r="W57"/>
    </row>
    <row r="58" spans="1:19" ht="13.5">
      <c r="A58" s="14" t="s">
        <v>80</v>
      </c>
      <c r="B58" s="38">
        <f>B51</f>
        <v>0</v>
      </c>
      <c r="D58" s="3" t="s">
        <v>115</v>
      </c>
      <c r="R58"/>
      <c r="S58"/>
    </row>
    <row r="59" spans="1:19" ht="14.25">
      <c r="A59" s="2" t="s">
        <v>71</v>
      </c>
      <c r="B59" s="42">
        <f>B52</f>
        <v>0.001274939766536965</v>
      </c>
      <c r="C59" s="3" t="s">
        <v>72</v>
      </c>
      <c r="D59" s="3" t="s">
        <v>117</v>
      </c>
      <c r="R59"/>
      <c r="S59"/>
    </row>
    <row r="60" spans="1:19" ht="14.25">
      <c r="A60" s="2" t="s">
        <v>67</v>
      </c>
      <c r="B60" s="42">
        <f>B53</f>
        <v>0.001274939766536965</v>
      </c>
      <c r="C60" s="3" t="s">
        <v>72</v>
      </c>
      <c r="R60"/>
      <c r="S60"/>
    </row>
    <row r="61" spans="1:19" ht="13.5">
      <c r="A61" s="2" t="s">
        <v>86</v>
      </c>
      <c r="B61" s="42">
        <f>GK*B5^2/10*(B39/B34/B59+C39/B33/B59)/1000</f>
        <v>10.76202020906584</v>
      </c>
      <c r="C61" s="3" t="s">
        <v>57</v>
      </c>
      <c r="R61"/>
      <c r="S61"/>
    </row>
    <row r="62" spans="1:19" ht="13.5">
      <c r="A62" s="2" t="s">
        <v>87</v>
      </c>
      <c r="B62" s="42">
        <f>GK*B5^2/10*(B39/B34/B60+C39/B33/B60)/1000</f>
        <v>10.76202020906584</v>
      </c>
      <c r="C62" s="3" t="s">
        <v>57</v>
      </c>
      <c r="R62"/>
      <c r="S62"/>
    </row>
    <row r="63" spans="1:19" ht="13.5">
      <c r="A63" s="2" t="s">
        <v>88</v>
      </c>
      <c r="B63" s="43">
        <f>B61*B58+B62*(1-B58)</f>
        <v>10.76202020906584</v>
      </c>
      <c r="C63" s="3" t="s">
        <v>57</v>
      </c>
      <c r="R63"/>
      <c r="S63"/>
    </row>
    <row r="64" spans="1:19" ht="12.75">
      <c r="A64" s="2"/>
      <c r="P64"/>
      <c r="Q64"/>
      <c r="R64"/>
      <c r="S64"/>
    </row>
    <row r="65" spans="1:19" ht="13.5">
      <c r="A65" s="2" t="s">
        <v>83</v>
      </c>
      <c r="B65" s="95">
        <f>B56+B28*(B63-B56)</f>
        <v>7.1812025758675695</v>
      </c>
      <c r="C65" s="3" t="s">
        <v>57</v>
      </c>
      <c r="P65"/>
      <c r="R65"/>
      <c r="S65"/>
    </row>
    <row r="66" spans="1:19" ht="12.75">
      <c r="A66" s="14" t="s">
        <v>89</v>
      </c>
      <c r="B66" s="96">
        <f>B48-B65</f>
        <v>12.625942582562502</v>
      </c>
      <c r="C66" s="3" t="s">
        <v>57</v>
      </c>
      <c r="D66" s="3" t="s">
        <v>90</v>
      </c>
      <c r="R66"/>
      <c r="S66"/>
    </row>
    <row r="67" spans="1:19" ht="12.75">
      <c r="A67" s="2" t="s">
        <v>91</v>
      </c>
      <c r="B67" s="1" t="str">
        <f>"1/"&amp;INT(B5*1000/B66)&amp;"°"</f>
        <v>1/566°</v>
      </c>
      <c r="C67" s="1" t="str">
        <f>IF(B66&lt;IF(B5&lt;7,B5*1000/500,14+B5-7),"OK","KO")</f>
        <v>OK</v>
      </c>
      <c r="P67"/>
      <c r="Q67"/>
      <c r="R67"/>
      <c r="S67"/>
    </row>
    <row r="68" spans="16:19" ht="12.75">
      <c r="P68"/>
      <c r="Q68"/>
      <c r="R68"/>
      <c r="S68"/>
    </row>
    <row r="69" spans="16:19" ht="12.75">
      <c r="P69"/>
      <c r="Q69"/>
      <c r="R69"/>
      <c r="S69"/>
    </row>
    <row r="70" spans="16:19" ht="12.75">
      <c r="P70"/>
      <c r="Q70"/>
      <c r="R70"/>
      <c r="S70"/>
    </row>
    <row r="71" spans="16:19" ht="12.75">
      <c r="P71"/>
      <c r="Q71"/>
      <c r="R71"/>
      <c r="S71"/>
    </row>
  </sheetData>
  <sheetProtection password="DE57" sheet="1" objects="1" scenarios="1" selectLockedCells="1"/>
  <mergeCells count="1">
    <mergeCell ref="B1:I1"/>
  </mergeCells>
  <conditionalFormatting sqref="C67 J23">
    <cfRule type="cellIs" priority="1" dxfId="0" operator="equal" stopIfTrue="1">
      <formula>"KO"</formula>
    </cfRule>
  </conditionalFormatting>
  <conditionalFormatting sqref="J21">
    <cfRule type="cellIs" priority="2" dxfId="0" operator="greaterThan" stopIfTrue="1">
      <formula>$L$21</formula>
    </cfRule>
  </conditionalFormatting>
  <dataValidations count="4">
    <dataValidation type="decimal" allowBlank="1" showInputMessage="1" showErrorMessage="1" sqref="B28">
      <formula1>0</formula1>
      <formula2>1</formula2>
    </dataValidation>
    <dataValidation type="list" allowBlank="1" showInputMessage="1" showErrorMessage="1" sqref="B4">
      <formula1>$W$19:$W$20</formula1>
    </dataValidation>
    <dataValidation type="list" allowBlank="1" showInputMessage="1" showErrorMessage="1" sqref="B24">
      <formula1>$W$4:$W$17</formula1>
    </dataValidation>
    <dataValidation type="list" allowBlank="1" showInputMessage="1" showErrorMessage="1" sqref="J15">
      <formula1>$P$21:$P$26</formula1>
    </dataValidation>
  </dataValidation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scale="87" r:id="rId4"/>
  <rowBreaks count="1" manualBreakCount="1">
    <brk id="6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Henry</cp:lastModifiedBy>
  <dcterms:created xsi:type="dcterms:W3CDTF">2013-04-20T14:29:53Z</dcterms:created>
  <dcterms:modified xsi:type="dcterms:W3CDTF">2021-10-07T15:10:53Z</dcterms:modified>
  <cp:category/>
  <cp:version/>
  <cp:contentType/>
  <cp:contentStatus/>
</cp:coreProperties>
</file>