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5" yWindow="30" windowWidth="17040" windowHeight="10155" activeTab="0"/>
  </bookViews>
  <sheets>
    <sheet name="Calcul" sheetId="1" r:id="rId1"/>
    <sheet name="Mode d'emploi" sheetId="2" r:id="rId2"/>
  </sheets>
  <definedNames>
    <definedName name="ai">'Calcul'!$E$28</definedName>
    <definedName name="bi">'Calcul'!$E$29</definedName>
    <definedName name="hi">'Calcul'!$E$26</definedName>
    <definedName name="IxGi">'Calcul'!$E$33</definedName>
    <definedName name="Ixi">'Calcul'!$E$14</definedName>
    <definedName name="IxyGi">'Calcul'!#REF!</definedName>
    <definedName name="IyGi">'Calcul'!$E$34</definedName>
    <definedName name="IYi">'Calcul'!$E$15</definedName>
    <definedName name="ji">'Calcul'!$E$27</definedName>
    <definedName name="Si">'Calcul'!$E$30</definedName>
    <definedName name="ti">'Calcul'!$E$25</definedName>
    <definedName name="xG">'Calcul'!#REF!</definedName>
    <definedName name="yG">'Calcul'!#REF!</definedName>
    <definedName name="_xlnm.Print_Area" localSheetId="0">'Calcul'!$A$1:$N$106</definedName>
  </definedNames>
  <calcPr calcMode="manual" fullCalcOnLoad="1" iterate="1" iterateCount="10" iterateDelta="0.001"/>
</workbook>
</file>

<file path=xl/comments1.xml><?xml version="1.0" encoding="utf-8"?>
<comments xmlns="http://schemas.openxmlformats.org/spreadsheetml/2006/main">
  <authors>
    <author>mactho1</author>
    <author>Poste_26</author>
  </authors>
  <commentList>
    <comment ref="C69" authorId="0">
      <text>
        <r>
          <rPr>
            <b/>
            <sz val="9"/>
            <rFont val="Tahoma"/>
            <family val="0"/>
          </rPr>
          <t>= (H</t>
        </r>
        <r>
          <rPr>
            <b/>
            <vertAlign val="subscript"/>
            <sz val="9"/>
            <rFont val="Tahoma"/>
            <family val="2"/>
          </rPr>
          <t>X</t>
        </r>
        <r>
          <rPr>
            <b/>
            <sz val="9"/>
            <rFont val="Tahoma"/>
            <family val="0"/>
          </rPr>
          <t>/</t>
        </r>
        <r>
          <rPr>
            <b/>
            <sz val="9"/>
            <rFont val="Symbol"/>
            <family val="1"/>
          </rPr>
          <t>S</t>
        </r>
        <r>
          <rPr>
            <b/>
            <sz val="9"/>
            <rFont val="Tahoma"/>
            <family val="0"/>
          </rPr>
          <t>I</t>
        </r>
        <r>
          <rPr>
            <b/>
            <vertAlign val="subscript"/>
            <sz val="9"/>
            <rFont val="Tahoma"/>
            <family val="2"/>
          </rPr>
          <t>Yi</t>
        </r>
        <r>
          <rPr>
            <b/>
            <sz val="9"/>
            <rFont val="Tahoma"/>
            <family val="0"/>
          </rPr>
          <t>)</t>
        </r>
        <r>
          <rPr>
            <b/>
            <sz val="9"/>
            <rFont val="Arial"/>
            <family val="0"/>
          </rPr>
          <t>.(I</t>
        </r>
        <r>
          <rPr>
            <b/>
            <vertAlign val="subscript"/>
            <sz val="9"/>
            <rFont val="Arial"/>
            <family val="2"/>
          </rPr>
          <t>yi</t>
        </r>
        <r>
          <rPr>
            <b/>
            <sz val="9"/>
            <rFont val="Arial"/>
            <family val="0"/>
          </rPr>
          <t>.cos</t>
        </r>
        <r>
          <rPr>
            <b/>
            <sz val="9"/>
            <rFont val="Symbol"/>
            <family val="1"/>
          </rPr>
          <t>j</t>
        </r>
        <r>
          <rPr>
            <b/>
            <vertAlign val="subscript"/>
            <sz val="9"/>
            <rFont val="Arial"/>
            <family val="2"/>
          </rPr>
          <t>i</t>
        </r>
        <r>
          <rPr>
            <b/>
            <sz val="9"/>
            <rFont val="Arial"/>
            <family val="0"/>
          </rPr>
          <t xml:space="preserve"> - I</t>
        </r>
        <r>
          <rPr>
            <b/>
            <vertAlign val="subscript"/>
            <sz val="9"/>
            <rFont val="Arial"/>
            <family val="2"/>
          </rPr>
          <t>XYi</t>
        </r>
        <r>
          <rPr>
            <b/>
            <sz val="9"/>
            <rFont val="Arial"/>
            <family val="0"/>
          </rPr>
          <t>.sin</t>
        </r>
        <r>
          <rPr>
            <b/>
            <sz val="9"/>
            <rFont val="Symbol"/>
            <family val="1"/>
          </rPr>
          <t>j</t>
        </r>
        <r>
          <rPr>
            <b/>
            <vertAlign val="subscript"/>
            <sz val="9"/>
            <rFont val="Arial"/>
            <family val="2"/>
          </rPr>
          <t>i</t>
        </r>
        <r>
          <rPr>
            <b/>
            <sz val="9"/>
            <rFont val="Arial"/>
            <family val="0"/>
          </rPr>
          <t>) + (H</t>
        </r>
        <r>
          <rPr>
            <b/>
            <vertAlign val="subscript"/>
            <sz val="9"/>
            <rFont val="Arial"/>
            <family val="2"/>
          </rPr>
          <t>Y</t>
        </r>
        <r>
          <rPr>
            <b/>
            <sz val="9"/>
            <rFont val="Arial"/>
            <family val="0"/>
          </rPr>
          <t>/</t>
        </r>
        <r>
          <rPr>
            <b/>
            <sz val="9"/>
            <rFont val="Symbol"/>
            <family val="1"/>
          </rPr>
          <t>S</t>
        </r>
        <r>
          <rPr>
            <b/>
            <sz val="9"/>
            <rFont val="Arial"/>
            <family val="0"/>
          </rPr>
          <t>I</t>
        </r>
        <r>
          <rPr>
            <b/>
            <vertAlign val="subscript"/>
            <sz val="9"/>
            <rFont val="Arial"/>
            <family val="2"/>
          </rPr>
          <t>Xi</t>
        </r>
        <r>
          <rPr>
            <b/>
            <sz val="9"/>
            <rFont val="Arial"/>
            <family val="0"/>
          </rPr>
          <t>).(I</t>
        </r>
        <r>
          <rPr>
            <b/>
            <vertAlign val="subscript"/>
            <sz val="9"/>
            <rFont val="Arial"/>
            <family val="2"/>
          </rPr>
          <t>XYi</t>
        </r>
        <r>
          <rPr>
            <b/>
            <sz val="9"/>
            <rFont val="Arial"/>
            <family val="0"/>
          </rPr>
          <t>.cos</t>
        </r>
        <r>
          <rPr>
            <b/>
            <sz val="9"/>
            <rFont val="Symbol"/>
            <family val="1"/>
          </rPr>
          <t>j</t>
        </r>
        <r>
          <rPr>
            <b/>
            <vertAlign val="subscript"/>
            <sz val="9"/>
            <rFont val="Arial"/>
            <family val="2"/>
          </rPr>
          <t>i</t>
        </r>
        <r>
          <rPr>
            <b/>
            <sz val="9"/>
            <rFont val="Arial"/>
            <family val="0"/>
          </rPr>
          <t xml:space="preserve"> - I</t>
        </r>
        <r>
          <rPr>
            <b/>
            <vertAlign val="subscript"/>
            <sz val="9"/>
            <rFont val="Arial"/>
            <family val="2"/>
          </rPr>
          <t>xi</t>
        </r>
        <r>
          <rPr>
            <b/>
            <sz val="9"/>
            <rFont val="Arial"/>
            <family val="0"/>
          </rPr>
          <t>.sin</t>
        </r>
        <r>
          <rPr>
            <b/>
            <sz val="9"/>
            <rFont val="Symbol"/>
            <family val="1"/>
          </rPr>
          <t>j</t>
        </r>
        <r>
          <rPr>
            <b/>
            <vertAlign val="subscript"/>
            <sz val="9"/>
            <rFont val="Arial"/>
            <family val="2"/>
          </rPr>
          <t>i</t>
        </r>
        <r>
          <rPr>
            <b/>
            <sz val="9"/>
            <rFont val="Arial"/>
            <family val="0"/>
          </rPr>
          <t>)</t>
        </r>
        <r>
          <rPr>
            <sz val="9"/>
            <rFont val="Tahoma"/>
            <family val="0"/>
          </rPr>
          <t xml:space="preserve">
</t>
        </r>
      </text>
    </comment>
    <comment ref="C70" authorId="0">
      <text>
        <r>
          <rPr>
            <b/>
            <sz val="9"/>
            <rFont val="Tahoma"/>
            <family val="0"/>
          </rPr>
          <t>= (H</t>
        </r>
        <r>
          <rPr>
            <b/>
            <vertAlign val="subscript"/>
            <sz val="9"/>
            <rFont val="Tahoma"/>
            <family val="2"/>
          </rPr>
          <t>Y</t>
        </r>
        <r>
          <rPr>
            <b/>
            <sz val="9"/>
            <rFont val="Tahoma"/>
            <family val="0"/>
          </rPr>
          <t>/</t>
        </r>
        <r>
          <rPr>
            <b/>
            <sz val="9"/>
            <rFont val="Symbol"/>
            <family val="1"/>
          </rPr>
          <t>S</t>
        </r>
        <r>
          <rPr>
            <b/>
            <sz val="9"/>
            <rFont val="Tahoma"/>
            <family val="0"/>
          </rPr>
          <t>I</t>
        </r>
        <r>
          <rPr>
            <b/>
            <vertAlign val="subscript"/>
            <sz val="9"/>
            <rFont val="Tahoma"/>
            <family val="2"/>
          </rPr>
          <t>Xi</t>
        </r>
        <r>
          <rPr>
            <b/>
            <sz val="9"/>
            <rFont val="Tahoma"/>
            <family val="0"/>
          </rPr>
          <t>)</t>
        </r>
        <r>
          <rPr>
            <b/>
            <sz val="9"/>
            <rFont val="Arial"/>
            <family val="0"/>
          </rPr>
          <t>.(I</t>
        </r>
        <r>
          <rPr>
            <b/>
            <vertAlign val="subscript"/>
            <sz val="9"/>
            <rFont val="Arial"/>
            <family val="2"/>
          </rPr>
          <t>xi</t>
        </r>
        <r>
          <rPr>
            <b/>
            <sz val="9"/>
            <rFont val="Arial"/>
            <family val="0"/>
          </rPr>
          <t>.cos</t>
        </r>
        <r>
          <rPr>
            <b/>
            <sz val="9"/>
            <rFont val="Symbol"/>
            <family val="1"/>
          </rPr>
          <t>j</t>
        </r>
        <r>
          <rPr>
            <b/>
            <vertAlign val="subscript"/>
            <sz val="9"/>
            <rFont val="Arial"/>
            <family val="2"/>
          </rPr>
          <t>i</t>
        </r>
        <r>
          <rPr>
            <b/>
            <sz val="9"/>
            <rFont val="Arial"/>
            <family val="0"/>
          </rPr>
          <t xml:space="preserve"> - I</t>
        </r>
        <r>
          <rPr>
            <b/>
            <vertAlign val="subscript"/>
            <sz val="9"/>
            <rFont val="Arial"/>
            <family val="2"/>
          </rPr>
          <t>XYi</t>
        </r>
        <r>
          <rPr>
            <b/>
            <sz val="9"/>
            <rFont val="Arial"/>
            <family val="0"/>
          </rPr>
          <t>.sin</t>
        </r>
        <r>
          <rPr>
            <b/>
            <sz val="9"/>
            <rFont val="Symbol"/>
            <family val="1"/>
          </rPr>
          <t>j</t>
        </r>
        <r>
          <rPr>
            <b/>
            <vertAlign val="subscript"/>
            <sz val="9"/>
            <rFont val="Arial"/>
            <family val="2"/>
          </rPr>
          <t>i</t>
        </r>
        <r>
          <rPr>
            <b/>
            <sz val="9"/>
            <rFont val="Arial"/>
            <family val="0"/>
          </rPr>
          <t>) + (H</t>
        </r>
        <r>
          <rPr>
            <b/>
            <vertAlign val="subscript"/>
            <sz val="9"/>
            <rFont val="Arial"/>
            <family val="2"/>
          </rPr>
          <t>X</t>
        </r>
        <r>
          <rPr>
            <b/>
            <sz val="9"/>
            <rFont val="Arial"/>
            <family val="0"/>
          </rPr>
          <t>/</t>
        </r>
        <r>
          <rPr>
            <b/>
            <sz val="9"/>
            <rFont val="Symbol"/>
            <family val="1"/>
          </rPr>
          <t>S</t>
        </r>
        <r>
          <rPr>
            <b/>
            <sz val="9"/>
            <rFont val="Arial"/>
            <family val="0"/>
          </rPr>
          <t>I</t>
        </r>
        <r>
          <rPr>
            <b/>
            <vertAlign val="subscript"/>
            <sz val="9"/>
            <rFont val="Arial"/>
            <family val="2"/>
          </rPr>
          <t>Yi</t>
        </r>
        <r>
          <rPr>
            <b/>
            <sz val="9"/>
            <rFont val="Arial"/>
            <family val="0"/>
          </rPr>
          <t>).(I</t>
        </r>
        <r>
          <rPr>
            <b/>
            <vertAlign val="subscript"/>
            <sz val="9"/>
            <rFont val="Arial"/>
            <family val="2"/>
          </rPr>
          <t>XYi</t>
        </r>
        <r>
          <rPr>
            <b/>
            <sz val="9"/>
            <rFont val="Arial"/>
            <family val="0"/>
          </rPr>
          <t>.cos</t>
        </r>
        <r>
          <rPr>
            <b/>
            <sz val="9"/>
            <rFont val="Symbol"/>
            <family val="1"/>
          </rPr>
          <t>j</t>
        </r>
        <r>
          <rPr>
            <b/>
            <vertAlign val="subscript"/>
            <sz val="9"/>
            <rFont val="Arial"/>
            <family val="2"/>
          </rPr>
          <t>i</t>
        </r>
        <r>
          <rPr>
            <b/>
            <sz val="9"/>
            <rFont val="Arial"/>
            <family val="0"/>
          </rPr>
          <t xml:space="preserve"> + I</t>
        </r>
        <r>
          <rPr>
            <b/>
            <vertAlign val="subscript"/>
            <sz val="9"/>
            <rFont val="Arial"/>
            <family val="2"/>
          </rPr>
          <t>Yi</t>
        </r>
        <r>
          <rPr>
            <b/>
            <sz val="9"/>
            <rFont val="Arial"/>
            <family val="0"/>
          </rPr>
          <t>.sin</t>
        </r>
        <r>
          <rPr>
            <b/>
            <sz val="9"/>
            <rFont val="Symbol"/>
            <family val="1"/>
          </rPr>
          <t>j</t>
        </r>
        <r>
          <rPr>
            <b/>
            <vertAlign val="subscript"/>
            <sz val="9"/>
            <rFont val="Arial"/>
            <family val="2"/>
          </rPr>
          <t>i</t>
        </r>
        <r>
          <rPr>
            <b/>
            <sz val="9"/>
            <rFont val="Arial"/>
            <family val="0"/>
          </rPr>
          <t>)</t>
        </r>
        <r>
          <rPr>
            <sz val="9"/>
            <rFont val="Tahoma"/>
            <family val="0"/>
          </rPr>
          <t xml:space="preserve">
</t>
        </r>
      </text>
    </comment>
    <comment ref="Z44" authorId="1">
      <text>
        <r>
          <rPr>
            <b/>
            <sz val="8"/>
            <rFont val="Tahoma"/>
            <family val="0"/>
          </rPr>
          <t>Les coordonnées sont exprimées par rapport à une origine quelconque  au choix</t>
        </r>
        <r>
          <rPr>
            <sz val="8"/>
            <rFont val="Tahoma"/>
            <family val="0"/>
          </rPr>
          <t xml:space="preserve">
</t>
        </r>
      </text>
    </comment>
    <comment ref="Z66" authorId="1">
      <text>
        <r>
          <rPr>
            <b/>
            <sz val="8"/>
            <rFont val="Tahoma"/>
            <family val="0"/>
          </rPr>
          <t>Les coordonnées sont exprimées par rapport à une origine quelconque  au choix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<sst xmlns="http://schemas.openxmlformats.org/spreadsheetml/2006/main" count="393" uniqueCount="246">
  <si>
    <t>Nota-</t>
  </si>
  <si>
    <t>Formule</t>
  </si>
  <si>
    <t>Uni-</t>
  </si>
  <si>
    <t>Total</t>
  </si>
  <si>
    <t>tions</t>
  </si>
  <si>
    <t>té</t>
  </si>
  <si>
    <t>donnée</t>
  </si>
  <si>
    <t>m</t>
  </si>
  <si>
    <t>inerties principales</t>
  </si>
  <si>
    <t>angle (Oy,axe)</t>
  </si>
  <si>
    <t>°</t>
  </si>
  <si>
    <t>rd</t>
  </si>
  <si>
    <t>centres de torsion</t>
  </si>
  <si>
    <t>composantes de P</t>
  </si>
  <si>
    <t>composantes de Q</t>
  </si>
  <si>
    <t>Moment p. rapport à O</t>
  </si>
  <si>
    <t>Inerties de l'ensemble</t>
  </si>
  <si>
    <t>absc. à l'origine</t>
  </si>
  <si>
    <t>ord. à l'origine</t>
  </si>
  <si>
    <t>centre de torsion</t>
  </si>
  <si>
    <t>d</t>
  </si>
  <si>
    <t>kN</t>
  </si>
  <si>
    <t>M</t>
  </si>
  <si>
    <t>kNm</t>
  </si>
  <si>
    <t>angle</t>
  </si>
  <si>
    <t>inerties/repère CXY</t>
  </si>
  <si>
    <t>efforts dus à la transl.</t>
  </si>
  <si>
    <t>coord. de C dans Oix'iy'i</t>
  </si>
  <si>
    <t>dist. de C à Oixi</t>
  </si>
  <si>
    <t>dist. de C à Oiyi</t>
  </si>
  <si>
    <t>rigidité à la torsion</t>
  </si>
  <si>
    <t>J</t>
  </si>
  <si>
    <t>efforts dus à la torsion</t>
  </si>
  <si>
    <t>efforts dans voiles</t>
  </si>
  <si>
    <r>
      <t>I'</t>
    </r>
    <r>
      <rPr>
        <vertAlign val="subscript"/>
        <sz val="9"/>
        <rFont val="Arial"/>
        <family val="2"/>
      </rPr>
      <t>xi</t>
    </r>
  </si>
  <si>
    <r>
      <t>I'</t>
    </r>
    <r>
      <rPr>
        <vertAlign val="subscript"/>
        <sz val="9"/>
        <rFont val="Arial"/>
        <family val="2"/>
      </rPr>
      <t>yi</t>
    </r>
  </si>
  <si>
    <r>
      <t>I</t>
    </r>
    <r>
      <rPr>
        <vertAlign val="subscript"/>
        <sz val="9"/>
        <rFont val="Arial"/>
        <family val="2"/>
      </rPr>
      <t>xi</t>
    </r>
  </si>
  <si>
    <r>
      <t>I</t>
    </r>
    <r>
      <rPr>
        <vertAlign val="subscript"/>
        <sz val="9"/>
        <rFont val="Arial"/>
        <family val="2"/>
      </rPr>
      <t>yi</t>
    </r>
  </si>
  <si>
    <r>
      <t>I</t>
    </r>
    <r>
      <rPr>
        <vertAlign val="subscript"/>
        <sz val="9"/>
        <rFont val="Arial"/>
        <family val="2"/>
      </rPr>
      <t>xyi</t>
    </r>
  </si>
  <si>
    <r>
      <t xml:space="preserve">angle </t>
    </r>
    <r>
      <rPr>
        <sz val="9"/>
        <rFont val="Symbol"/>
        <family val="1"/>
      </rPr>
      <t>d</t>
    </r>
  </si>
  <si>
    <r>
      <t>I'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 xml:space="preserve"> cos</t>
    </r>
    <r>
      <rPr>
        <vertAlign val="superscript"/>
        <sz val="9"/>
        <rFont val="Arial"/>
        <family val="2"/>
      </rPr>
      <t>2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>+I'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 xml:space="preserve"> sin</t>
    </r>
    <r>
      <rPr>
        <vertAlign val="superscript"/>
        <sz val="9"/>
        <rFont val="Arial"/>
        <family val="2"/>
      </rPr>
      <t>2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</si>
  <si>
    <r>
      <t>I'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 xml:space="preserve"> sin</t>
    </r>
    <r>
      <rPr>
        <vertAlign val="superscript"/>
        <sz val="9"/>
        <rFont val="Arial"/>
        <family val="2"/>
      </rPr>
      <t>2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>+I'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 xml:space="preserve"> cos</t>
    </r>
    <r>
      <rPr>
        <vertAlign val="superscript"/>
        <sz val="9"/>
        <rFont val="Arial"/>
        <family val="2"/>
      </rPr>
      <t>2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</si>
  <si>
    <r>
      <t>(I'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>-I'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>) cos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sin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</si>
  <si>
    <r>
      <t>q</t>
    </r>
    <r>
      <rPr>
        <vertAlign val="subscript"/>
        <sz val="9"/>
        <rFont val="Arial"/>
        <family val="2"/>
      </rPr>
      <t>i</t>
    </r>
  </si>
  <si>
    <r>
      <t>x</t>
    </r>
    <r>
      <rPr>
        <vertAlign val="subscript"/>
        <sz val="9"/>
        <rFont val="Arial"/>
        <family val="2"/>
      </rPr>
      <t>0i</t>
    </r>
  </si>
  <si>
    <r>
      <t>y</t>
    </r>
    <r>
      <rPr>
        <vertAlign val="subscript"/>
        <sz val="9"/>
        <rFont val="Arial"/>
        <family val="2"/>
      </rPr>
      <t>0i</t>
    </r>
  </si>
  <si>
    <r>
      <t>I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 xml:space="preserve"> x</t>
    </r>
    <r>
      <rPr>
        <vertAlign val="subscript"/>
        <sz val="9"/>
        <rFont val="Arial"/>
        <family val="2"/>
      </rPr>
      <t>0i</t>
    </r>
  </si>
  <si>
    <r>
      <t>I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 xml:space="preserve"> y</t>
    </r>
    <r>
      <rPr>
        <vertAlign val="subscript"/>
        <sz val="9"/>
        <rFont val="Arial"/>
        <family val="2"/>
      </rPr>
      <t>0i</t>
    </r>
  </si>
  <si>
    <r>
      <t>I</t>
    </r>
    <r>
      <rPr>
        <vertAlign val="subscript"/>
        <sz val="9"/>
        <rFont val="Arial"/>
        <family val="2"/>
      </rPr>
      <t>xyi</t>
    </r>
    <r>
      <rPr>
        <sz val="9"/>
        <rFont val="Arial"/>
        <family val="2"/>
      </rPr>
      <t xml:space="preserve"> x</t>
    </r>
    <r>
      <rPr>
        <vertAlign val="subscript"/>
        <sz val="9"/>
        <rFont val="Arial"/>
        <family val="2"/>
      </rPr>
      <t>0i</t>
    </r>
  </si>
  <si>
    <r>
      <t>I</t>
    </r>
    <r>
      <rPr>
        <vertAlign val="subscript"/>
        <sz val="9"/>
        <rFont val="Arial"/>
        <family val="2"/>
      </rPr>
      <t>xyi</t>
    </r>
    <r>
      <rPr>
        <sz val="9"/>
        <rFont val="Arial"/>
        <family val="2"/>
      </rPr>
      <t xml:space="preserve"> y</t>
    </r>
    <r>
      <rPr>
        <vertAlign val="subscript"/>
        <sz val="9"/>
        <rFont val="Arial"/>
        <family val="2"/>
      </rPr>
      <t>0i</t>
    </r>
  </si>
  <si>
    <r>
      <t>(I'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>-I'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>) sin(2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>)</t>
    </r>
  </si>
  <si>
    <r>
      <t>(I'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>-I'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>) cos(2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>)</t>
    </r>
  </si>
  <si>
    <r>
      <t>inerties/O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>x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>y</t>
    </r>
    <r>
      <rPr>
        <vertAlign val="subscript"/>
        <sz val="9"/>
        <rFont val="Arial"/>
        <family val="2"/>
      </rPr>
      <t>i</t>
    </r>
  </si>
  <si>
    <r>
      <t>S</t>
    </r>
    <r>
      <rPr>
        <sz val="9"/>
        <rFont val="Arial"/>
        <family val="2"/>
      </rPr>
      <t>(I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>)</t>
    </r>
  </si>
  <si>
    <r>
      <t>S</t>
    </r>
    <r>
      <rPr>
        <sz val="9"/>
        <rFont val="Arial"/>
        <family val="2"/>
      </rPr>
      <t>(I</t>
    </r>
    <r>
      <rPr>
        <vertAlign val="subscript"/>
        <sz val="9"/>
        <rFont val="Arial"/>
        <family val="2"/>
      </rPr>
      <t>xyi</t>
    </r>
    <r>
      <rPr>
        <sz val="9"/>
        <rFont val="Arial"/>
        <family val="2"/>
      </rPr>
      <t>)</t>
    </r>
  </si>
  <si>
    <r>
      <t>S</t>
    </r>
    <r>
      <rPr>
        <sz val="9"/>
        <rFont val="Arial"/>
        <family val="2"/>
      </rPr>
      <t>(I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>)</t>
    </r>
  </si>
  <si>
    <r>
      <t>P</t>
    </r>
    <r>
      <rPr>
        <vertAlign val="subscript"/>
        <sz val="9"/>
        <rFont val="Arial"/>
        <family val="2"/>
      </rPr>
      <t>x</t>
    </r>
  </si>
  <si>
    <r>
      <t>P</t>
    </r>
    <r>
      <rPr>
        <vertAlign val="subscript"/>
        <sz val="9"/>
        <rFont val="Arial"/>
        <family val="2"/>
      </rPr>
      <t>y</t>
    </r>
  </si>
  <si>
    <r>
      <t>Q</t>
    </r>
    <r>
      <rPr>
        <vertAlign val="subscript"/>
        <sz val="9"/>
        <rFont val="Arial"/>
        <family val="2"/>
      </rPr>
      <t>x</t>
    </r>
  </si>
  <si>
    <r>
      <t>Q</t>
    </r>
    <r>
      <rPr>
        <vertAlign val="subscript"/>
        <sz val="9"/>
        <rFont val="Arial"/>
        <family val="2"/>
      </rPr>
      <t>y</t>
    </r>
  </si>
  <si>
    <r>
      <t>M</t>
    </r>
    <r>
      <rPr>
        <vertAlign val="subscript"/>
        <sz val="9"/>
        <rFont val="Arial"/>
        <family val="2"/>
      </rPr>
      <t>P</t>
    </r>
  </si>
  <si>
    <r>
      <t>M</t>
    </r>
    <r>
      <rPr>
        <vertAlign val="subscript"/>
        <sz val="9"/>
        <rFont val="Arial"/>
        <family val="2"/>
      </rPr>
      <t>Q</t>
    </r>
  </si>
  <si>
    <r>
      <t>S</t>
    </r>
    <r>
      <rPr>
        <sz val="9"/>
        <rFont val="Arial"/>
        <family val="2"/>
      </rPr>
      <t>(I</t>
    </r>
    <r>
      <rPr>
        <vertAlign val="subscript"/>
        <sz val="9"/>
        <rFont val="Arial"/>
        <family val="2"/>
      </rPr>
      <t>xyi</t>
    </r>
    <r>
      <rPr>
        <sz val="9"/>
        <rFont val="Arial"/>
        <family val="2"/>
      </rPr>
      <t xml:space="preserve"> x</t>
    </r>
    <r>
      <rPr>
        <vertAlign val="subscript"/>
        <sz val="9"/>
        <rFont val="Arial"/>
        <family val="2"/>
      </rPr>
      <t>0i</t>
    </r>
    <r>
      <rPr>
        <sz val="9"/>
        <rFont val="Arial"/>
        <family val="2"/>
      </rPr>
      <t xml:space="preserve"> - I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 xml:space="preserve"> y</t>
    </r>
    <r>
      <rPr>
        <vertAlign val="subscript"/>
        <sz val="9"/>
        <rFont val="Arial"/>
        <family val="2"/>
      </rPr>
      <t>0i</t>
    </r>
    <r>
      <rPr>
        <sz val="9"/>
        <rFont val="Arial"/>
        <family val="2"/>
      </rPr>
      <t>)</t>
    </r>
  </si>
  <si>
    <r>
      <t>S</t>
    </r>
    <r>
      <rPr>
        <sz val="9"/>
        <rFont val="Arial"/>
        <family val="2"/>
      </rPr>
      <t>(I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 xml:space="preserve"> x</t>
    </r>
    <r>
      <rPr>
        <vertAlign val="subscript"/>
        <sz val="9"/>
        <rFont val="Arial"/>
        <family val="2"/>
      </rPr>
      <t>0i</t>
    </r>
    <r>
      <rPr>
        <sz val="9"/>
        <rFont val="Arial"/>
        <family val="2"/>
      </rPr>
      <t xml:space="preserve"> - I</t>
    </r>
    <r>
      <rPr>
        <vertAlign val="subscript"/>
        <sz val="9"/>
        <rFont val="Arial"/>
        <family val="2"/>
      </rPr>
      <t xml:space="preserve">xyi </t>
    </r>
    <r>
      <rPr>
        <sz val="9"/>
        <rFont val="Arial"/>
        <family val="2"/>
      </rPr>
      <t>y</t>
    </r>
    <r>
      <rPr>
        <vertAlign val="subscript"/>
        <sz val="9"/>
        <rFont val="Arial"/>
        <family val="2"/>
      </rPr>
      <t>0i</t>
    </r>
    <r>
      <rPr>
        <sz val="9"/>
        <rFont val="Arial"/>
        <family val="2"/>
      </rPr>
      <t>)</t>
    </r>
  </si>
  <si>
    <r>
      <t>x</t>
    </r>
    <r>
      <rPr>
        <vertAlign val="subscript"/>
        <sz val="9"/>
        <rFont val="Arial"/>
        <family val="2"/>
      </rPr>
      <t>P</t>
    </r>
  </si>
  <si>
    <r>
      <t>y</t>
    </r>
    <r>
      <rPr>
        <vertAlign val="subscript"/>
        <sz val="9"/>
        <rFont val="Arial"/>
        <family val="2"/>
      </rPr>
      <t>P</t>
    </r>
  </si>
  <si>
    <r>
      <t>M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y</t>
    </r>
  </si>
  <si>
    <r>
      <t xml:space="preserve"> -M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>/P</t>
    </r>
    <r>
      <rPr>
        <vertAlign val="subscript"/>
        <sz val="9"/>
        <rFont val="Arial"/>
        <family val="2"/>
      </rPr>
      <t>x</t>
    </r>
  </si>
  <si>
    <r>
      <t>x</t>
    </r>
    <r>
      <rPr>
        <vertAlign val="subscript"/>
        <sz val="9"/>
        <rFont val="Arial"/>
        <family val="2"/>
      </rPr>
      <t>Q</t>
    </r>
  </si>
  <si>
    <r>
      <t>y</t>
    </r>
    <r>
      <rPr>
        <vertAlign val="subscript"/>
        <sz val="9"/>
        <rFont val="Arial"/>
        <family val="2"/>
      </rPr>
      <t>Q</t>
    </r>
  </si>
  <si>
    <r>
      <t>M</t>
    </r>
    <r>
      <rPr>
        <vertAlign val="subscript"/>
        <sz val="9"/>
        <rFont val="Arial"/>
        <family val="2"/>
      </rPr>
      <t>Q</t>
    </r>
    <r>
      <rPr>
        <sz val="9"/>
        <rFont val="Arial"/>
        <family val="2"/>
      </rPr>
      <t>/Q</t>
    </r>
    <r>
      <rPr>
        <vertAlign val="subscript"/>
        <sz val="9"/>
        <rFont val="Arial"/>
        <family val="2"/>
      </rPr>
      <t>y</t>
    </r>
  </si>
  <si>
    <r>
      <t xml:space="preserve"> -M</t>
    </r>
    <r>
      <rPr>
        <vertAlign val="subscript"/>
        <sz val="9"/>
        <rFont val="Arial"/>
        <family val="2"/>
      </rPr>
      <t>Q</t>
    </r>
    <r>
      <rPr>
        <sz val="9"/>
        <rFont val="Arial"/>
        <family val="2"/>
      </rPr>
      <t>/Q</t>
    </r>
    <r>
      <rPr>
        <vertAlign val="subscript"/>
        <sz val="9"/>
        <rFont val="Arial"/>
        <family val="2"/>
      </rPr>
      <t>x</t>
    </r>
  </si>
  <si>
    <r>
      <t>x</t>
    </r>
    <r>
      <rPr>
        <vertAlign val="subscript"/>
        <sz val="9"/>
        <rFont val="Arial"/>
        <family val="2"/>
      </rPr>
      <t>C</t>
    </r>
  </si>
  <si>
    <r>
      <t>y</t>
    </r>
    <r>
      <rPr>
        <vertAlign val="subscript"/>
        <sz val="9"/>
        <rFont val="Arial"/>
        <family val="2"/>
      </rPr>
      <t>C</t>
    </r>
  </si>
  <si>
    <r>
      <t>H</t>
    </r>
    <r>
      <rPr>
        <vertAlign val="subscript"/>
        <sz val="9"/>
        <rFont val="Arial"/>
        <family val="2"/>
      </rPr>
      <t>x</t>
    </r>
  </si>
  <si>
    <r>
      <t>H</t>
    </r>
    <r>
      <rPr>
        <vertAlign val="subscript"/>
        <sz val="9"/>
        <rFont val="Arial"/>
        <family val="2"/>
      </rPr>
      <t>y</t>
    </r>
  </si>
  <si>
    <r>
      <t>x</t>
    </r>
    <r>
      <rPr>
        <vertAlign val="subscript"/>
        <sz val="9"/>
        <rFont val="Arial"/>
        <family val="2"/>
      </rPr>
      <t>Hy</t>
    </r>
  </si>
  <si>
    <r>
      <t>y</t>
    </r>
    <r>
      <rPr>
        <vertAlign val="subscript"/>
        <sz val="9"/>
        <rFont val="Arial"/>
        <family val="2"/>
      </rPr>
      <t>Hx</t>
    </r>
  </si>
  <si>
    <r>
      <t>H</t>
    </r>
    <r>
      <rPr>
        <vertAlign val="subscript"/>
        <sz val="9"/>
        <rFont val="Arial"/>
        <family val="2"/>
      </rPr>
      <t>X</t>
    </r>
  </si>
  <si>
    <r>
      <t>H</t>
    </r>
    <r>
      <rPr>
        <vertAlign val="subscript"/>
        <sz val="9"/>
        <rFont val="Arial"/>
        <family val="2"/>
      </rPr>
      <t>Y</t>
    </r>
  </si>
  <si>
    <r>
      <t>(x</t>
    </r>
    <r>
      <rPr>
        <vertAlign val="subscript"/>
        <sz val="9"/>
        <rFont val="Arial"/>
        <family val="2"/>
      </rPr>
      <t>Hy</t>
    </r>
    <r>
      <rPr>
        <sz val="9"/>
        <rFont val="Arial"/>
        <family val="2"/>
      </rPr>
      <t xml:space="preserve"> - x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)H</t>
    </r>
    <r>
      <rPr>
        <vertAlign val="subscript"/>
        <sz val="9"/>
        <rFont val="Arial"/>
        <family val="2"/>
      </rPr>
      <t xml:space="preserve">y </t>
    </r>
    <r>
      <rPr>
        <sz val="9"/>
        <rFont val="Arial"/>
        <family val="2"/>
      </rPr>
      <t>+ (y</t>
    </r>
    <r>
      <rPr>
        <vertAlign val="subscript"/>
        <sz val="9"/>
        <rFont val="Arial"/>
        <family val="2"/>
      </rPr>
      <t>Hx</t>
    </r>
    <r>
      <rPr>
        <sz val="9"/>
        <rFont val="Arial"/>
        <family val="2"/>
      </rPr>
      <t xml:space="preserve">  y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)H</t>
    </r>
    <r>
      <rPr>
        <vertAlign val="subscript"/>
        <sz val="9"/>
        <rFont val="Arial"/>
        <family val="2"/>
      </rPr>
      <t>x</t>
    </r>
  </si>
  <si>
    <r>
      <t>H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>cos</t>
    </r>
    <r>
      <rPr>
        <sz val="9"/>
        <rFont val="Symbol"/>
        <family val="1"/>
      </rPr>
      <t>d</t>
    </r>
    <r>
      <rPr>
        <sz val="9"/>
        <rFont val="Arial"/>
        <family val="2"/>
      </rPr>
      <t xml:space="preserve"> + H</t>
    </r>
    <r>
      <rPr>
        <vertAlign val="subscript"/>
        <sz val="9"/>
        <rFont val="Arial"/>
        <family val="2"/>
      </rPr>
      <t>y</t>
    </r>
    <r>
      <rPr>
        <sz val="9"/>
        <rFont val="Arial"/>
        <family val="2"/>
      </rPr>
      <t>sin</t>
    </r>
    <r>
      <rPr>
        <sz val="9"/>
        <rFont val="Symbol"/>
        <family val="1"/>
      </rPr>
      <t>d</t>
    </r>
  </si>
  <si>
    <r>
      <t xml:space="preserve"> -H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>sin</t>
    </r>
    <r>
      <rPr>
        <sz val="9"/>
        <rFont val="Symbol"/>
        <family val="1"/>
      </rPr>
      <t>d</t>
    </r>
    <r>
      <rPr>
        <sz val="9"/>
        <rFont val="Arial"/>
        <family val="2"/>
      </rPr>
      <t xml:space="preserve"> + H</t>
    </r>
    <r>
      <rPr>
        <vertAlign val="subscript"/>
        <sz val="9"/>
        <rFont val="Arial"/>
        <family val="2"/>
      </rPr>
      <t>y</t>
    </r>
    <r>
      <rPr>
        <sz val="9"/>
        <rFont val="Arial"/>
        <family val="2"/>
      </rPr>
      <t>cos</t>
    </r>
    <r>
      <rPr>
        <sz val="9"/>
        <rFont val="Symbol"/>
        <family val="1"/>
      </rPr>
      <t>d</t>
    </r>
  </si>
  <si>
    <r>
      <t>(y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>-y</t>
    </r>
    <r>
      <rPr>
        <vertAlign val="subscript"/>
        <sz val="9"/>
        <rFont val="Arial"/>
        <family val="2"/>
      </rPr>
      <t>Q</t>
    </r>
    <r>
      <rPr>
        <sz val="9"/>
        <rFont val="Arial"/>
        <family val="2"/>
      </rPr>
      <t>) / (y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>/x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>-y</t>
    </r>
    <r>
      <rPr>
        <vertAlign val="subscript"/>
        <sz val="9"/>
        <rFont val="Arial"/>
        <family val="2"/>
      </rPr>
      <t>Q</t>
    </r>
    <r>
      <rPr>
        <sz val="9"/>
        <rFont val="Arial"/>
        <family val="2"/>
      </rPr>
      <t>/x</t>
    </r>
    <r>
      <rPr>
        <vertAlign val="subscript"/>
        <sz val="9"/>
        <rFont val="Arial"/>
        <family val="2"/>
      </rPr>
      <t>Q</t>
    </r>
    <r>
      <rPr>
        <sz val="9"/>
        <rFont val="Arial"/>
        <family val="2"/>
      </rPr>
      <t>)</t>
    </r>
  </si>
  <si>
    <r>
      <t>(x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>-x</t>
    </r>
    <r>
      <rPr>
        <vertAlign val="subscript"/>
        <sz val="9"/>
        <rFont val="Arial"/>
        <family val="2"/>
      </rPr>
      <t>Q</t>
    </r>
    <r>
      <rPr>
        <sz val="9"/>
        <rFont val="Arial"/>
        <family val="2"/>
      </rPr>
      <t>) / (x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>/y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>-x</t>
    </r>
    <r>
      <rPr>
        <vertAlign val="subscript"/>
        <sz val="9"/>
        <rFont val="Arial"/>
        <family val="2"/>
      </rPr>
      <t>Q</t>
    </r>
    <r>
      <rPr>
        <sz val="9"/>
        <rFont val="Arial"/>
        <family val="2"/>
      </rPr>
      <t>/y</t>
    </r>
    <r>
      <rPr>
        <vertAlign val="subscript"/>
        <sz val="9"/>
        <rFont val="Arial"/>
        <family val="2"/>
      </rPr>
      <t>Q</t>
    </r>
    <r>
      <rPr>
        <sz val="9"/>
        <rFont val="Arial"/>
        <family val="2"/>
      </rPr>
      <t>)</t>
    </r>
  </si>
  <si>
    <r>
      <t>j</t>
    </r>
    <r>
      <rPr>
        <vertAlign val="subscript"/>
        <sz val="9"/>
        <rFont val="Arial"/>
        <family val="2"/>
      </rPr>
      <t>i</t>
    </r>
  </si>
  <si>
    <r>
      <t>q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>+</t>
    </r>
    <r>
      <rPr>
        <sz val="9"/>
        <rFont val="Symbol"/>
        <family val="1"/>
      </rPr>
      <t>d</t>
    </r>
  </si>
  <si>
    <r>
      <t>I</t>
    </r>
    <r>
      <rPr>
        <vertAlign val="subscript"/>
        <sz val="9"/>
        <rFont val="Arial"/>
        <family val="2"/>
      </rPr>
      <t>Xi</t>
    </r>
  </si>
  <si>
    <r>
      <t>I</t>
    </r>
    <r>
      <rPr>
        <vertAlign val="subscript"/>
        <sz val="9"/>
        <rFont val="Arial"/>
        <family val="2"/>
      </rPr>
      <t>Yi</t>
    </r>
  </si>
  <si>
    <r>
      <t>I</t>
    </r>
    <r>
      <rPr>
        <vertAlign val="subscript"/>
        <sz val="9"/>
        <rFont val="Arial"/>
        <family val="2"/>
      </rPr>
      <t>XYi</t>
    </r>
  </si>
  <si>
    <r>
      <t>I'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>cos</t>
    </r>
    <r>
      <rPr>
        <vertAlign val="superscript"/>
        <sz val="9"/>
        <rFont val="Arial"/>
        <family val="2"/>
      </rPr>
      <t>2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>+I'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>sin</t>
    </r>
    <r>
      <rPr>
        <vertAlign val="superscript"/>
        <sz val="9"/>
        <rFont val="Arial"/>
        <family val="2"/>
      </rPr>
      <t>2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i</t>
    </r>
  </si>
  <si>
    <r>
      <t>I'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>sin</t>
    </r>
    <r>
      <rPr>
        <vertAlign val="superscript"/>
        <sz val="9"/>
        <rFont val="Arial"/>
        <family val="2"/>
      </rPr>
      <t>2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>+I'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>cos</t>
    </r>
    <r>
      <rPr>
        <vertAlign val="superscript"/>
        <sz val="9"/>
        <rFont val="Arial"/>
        <family val="2"/>
      </rPr>
      <t>2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i</t>
    </r>
  </si>
  <si>
    <r>
      <t>(I'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>-I'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>) sin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cos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i</t>
    </r>
  </si>
  <si>
    <r>
      <t>m</t>
    </r>
    <r>
      <rPr>
        <vertAlign val="superscript"/>
        <sz val="9"/>
        <rFont val="Arial"/>
        <family val="2"/>
      </rPr>
      <t>4</t>
    </r>
  </si>
  <si>
    <r>
      <t>m</t>
    </r>
    <r>
      <rPr>
        <vertAlign val="superscript"/>
        <sz val="9"/>
        <rFont val="Arial"/>
        <family val="2"/>
      </rPr>
      <t>6</t>
    </r>
  </si>
  <si>
    <r>
      <t>I</t>
    </r>
    <r>
      <rPr>
        <vertAlign val="subscript"/>
        <sz val="9"/>
        <rFont val="Arial"/>
        <family val="2"/>
      </rPr>
      <t xml:space="preserve">Xi </t>
    </r>
    <r>
      <rPr>
        <sz val="9"/>
        <rFont val="Arial"/>
        <family val="2"/>
      </rPr>
      <t>sin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i</t>
    </r>
  </si>
  <si>
    <r>
      <t>I</t>
    </r>
    <r>
      <rPr>
        <vertAlign val="subscript"/>
        <sz val="9"/>
        <rFont val="Arial"/>
        <family val="2"/>
      </rPr>
      <t xml:space="preserve">Xi </t>
    </r>
    <r>
      <rPr>
        <sz val="9"/>
        <rFont val="Arial"/>
        <family val="2"/>
      </rPr>
      <t>cos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i</t>
    </r>
  </si>
  <si>
    <r>
      <t>I</t>
    </r>
    <r>
      <rPr>
        <vertAlign val="subscript"/>
        <sz val="9"/>
        <rFont val="Arial"/>
        <family val="2"/>
      </rPr>
      <t xml:space="preserve">Yi </t>
    </r>
    <r>
      <rPr>
        <sz val="9"/>
        <rFont val="Arial"/>
        <family val="2"/>
      </rPr>
      <t>cos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i</t>
    </r>
  </si>
  <si>
    <r>
      <t>I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 xml:space="preserve"> sin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i</t>
    </r>
  </si>
  <si>
    <r>
      <t>I</t>
    </r>
    <r>
      <rPr>
        <vertAlign val="subscript"/>
        <sz val="9"/>
        <rFont val="Arial"/>
        <family val="2"/>
      </rPr>
      <t>XYi</t>
    </r>
    <r>
      <rPr>
        <sz val="9"/>
        <rFont val="Arial"/>
        <family val="2"/>
      </rPr>
      <t xml:space="preserve"> sin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i</t>
    </r>
  </si>
  <si>
    <r>
      <t>I</t>
    </r>
    <r>
      <rPr>
        <vertAlign val="subscript"/>
        <sz val="9"/>
        <rFont val="Arial"/>
        <family val="2"/>
      </rPr>
      <t xml:space="preserve">XYi </t>
    </r>
    <r>
      <rPr>
        <sz val="9"/>
        <rFont val="Arial"/>
        <family val="2"/>
      </rPr>
      <t>cos</t>
    </r>
    <r>
      <rPr>
        <sz val="9"/>
        <rFont val="Symbol"/>
        <family val="1"/>
      </rPr>
      <t>j</t>
    </r>
    <r>
      <rPr>
        <vertAlign val="subscript"/>
        <sz val="9"/>
        <rFont val="Arial"/>
        <family val="2"/>
      </rPr>
      <t>i</t>
    </r>
  </si>
  <si>
    <r>
      <t>F</t>
    </r>
    <r>
      <rPr>
        <vertAlign val="subscript"/>
        <sz val="9"/>
        <rFont val="Arial"/>
        <family val="2"/>
      </rPr>
      <t>xi</t>
    </r>
  </si>
  <si>
    <r>
      <t>F</t>
    </r>
    <r>
      <rPr>
        <vertAlign val="subscript"/>
        <sz val="9"/>
        <rFont val="Arial"/>
        <family val="2"/>
      </rPr>
      <t>yi</t>
    </r>
  </si>
  <si>
    <r>
      <t>x'</t>
    </r>
    <r>
      <rPr>
        <vertAlign val="subscript"/>
        <sz val="9"/>
        <rFont val="Arial"/>
        <family val="2"/>
      </rPr>
      <t>iC</t>
    </r>
  </si>
  <si>
    <r>
      <t>y'</t>
    </r>
    <r>
      <rPr>
        <vertAlign val="subscript"/>
        <sz val="9"/>
        <rFont val="Arial"/>
        <family val="2"/>
      </rPr>
      <t>iC</t>
    </r>
  </si>
  <si>
    <r>
      <t>r</t>
    </r>
    <r>
      <rPr>
        <vertAlign val="subscript"/>
        <sz val="9"/>
        <rFont val="Arial"/>
        <family val="2"/>
      </rPr>
      <t>xi</t>
    </r>
  </si>
  <si>
    <r>
      <t>r</t>
    </r>
    <r>
      <rPr>
        <vertAlign val="subscript"/>
        <sz val="9"/>
        <rFont val="Arial"/>
        <family val="2"/>
      </rPr>
      <t>yi</t>
    </r>
  </si>
  <si>
    <t>équ. 39</t>
  </si>
  <si>
    <t>équ. 40</t>
  </si>
  <si>
    <r>
      <t>(x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-x</t>
    </r>
    <r>
      <rPr>
        <vertAlign val="subscript"/>
        <sz val="9"/>
        <rFont val="Arial"/>
        <family val="2"/>
      </rPr>
      <t>0i</t>
    </r>
    <r>
      <rPr>
        <sz val="9"/>
        <rFont val="Arial"/>
        <family val="2"/>
      </rPr>
      <t>)cos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- (y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-y</t>
    </r>
    <r>
      <rPr>
        <vertAlign val="subscript"/>
        <sz val="9"/>
        <rFont val="Arial"/>
        <family val="2"/>
      </rPr>
      <t>0i</t>
    </r>
    <r>
      <rPr>
        <sz val="9"/>
        <rFont val="Arial"/>
        <family val="2"/>
      </rPr>
      <t>)sin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</si>
  <si>
    <r>
      <t>(x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-x</t>
    </r>
    <r>
      <rPr>
        <vertAlign val="subscript"/>
        <sz val="9"/>
        <rFont val="Arial"/>
        <family val="2"/>
      </rPr>
      <t>0i</t>
    </r>
    <r>
      <rPr>
        <sz val="9"/>
        <rFont val="Arial"/>
        <family val="2"/>
      </rPr>
      <t>)sin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- (y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>-y</t>
    </r>
    <r>
      <rPr>
        <vertAlign val="subscript"/>
        <sz val="9"/>
        <rFont val="Arial"/>
        <family val="2"/>
      </rPr>
      <t>0i</t>
    </r>
    <r>
      <rPr>
        <sz val="9"/>
        <rFont val="Arial"/>
        <family val="2"/>
      </rPr>
      <t>)cos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</si>
  <si>
    <r>
      <t xml:space="preserve"> -x'</t>
    </r>
    <r>
      <rPr>
        <vertAlign val="subscript"/>
        <sz val="9"/>
        <rFont val="Arial"/>
        <family val="2"/>
      </rPr>
      <t>iC</t>
    </r>
  </si>
  <si>
    <r>
      <t>r</t>
    </r>
    <r>
      <rPr>
        <vertAlign val="subscript"/>
        <sz val="9"/>
        <rFont val="Arial"/>
        <family val="2"/>
      </rPr>
      <t>xi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I'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 xml:space="preserve"> + r</t>
    </r>
    <r>
      <rPr>
        <vertAlign val="subscript"/>
        <sz val="9"/>
        <rFont val="Arial"/>
        <family val="2"/>
      </rPr>
      <t>yi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I'</t>
    </r>
    <r>
      <rPr>
        <vertAlign val="subscript"/>
        <sz val="9"/>
        <rFont val="Arial"/>
        <family val="2"/>
      </rPr>
      <t>xi</t>
    </r>
  </si>
  <si>
    <r>
      <t>R</t>
    </r>
    <r>
      <rPr>
        <vertAlign val="subscript"/>
        <sz val="9"/>
        <rFont val="Arial"/>
        <family val="2"/>
      </rPr>
      <t>xi</t>
    </r>
  </si>
  <si>
    <r>
      <t>R</t>
    </r>
    <r>
      <rPr>
        <vertAlign val="subscript"/>
        <sz val="9"/>
        <rFont val="Arial"/>
        <family val="2"/>
      </rPr>
      <t>yi</t>
    </r>
  </si>
  <si>
    <r>
      <t>M r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 xml:space="preserve"> I'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>/J</t>
    </r>
  </si>
  <si>
    <r>
      <t>M r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 xml:space="preserve"> I'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>/J</t>
    </r>
  </si>
  <si>
    <r>
      <t>H'</t>
    </r>
    <r>
      <rPr>
        <vertAlign val="subscript"/>
        <sz val="9"/>
        <rFont val="Arial"/>
        <family val="2"/>
      </rPr>
      <t>xi</t>
    </r>
  </si>
  <si>
    <r>
      <t>F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 xml:space="preserve"> + R</t>
    </r>
    <r>
      <rPr>
        <vertAlign val="subscript"/>
        <sz val="9"/>
        <rFont val="Arial"/>
        <family val="2"/>
      </rPr>
      <t>xi</t>
    </r>
  </si>
  <si>
    <r>
      <t>F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 xml:space="preserve"> + R</t>
    </r>
    <r>
      <rPr>
        <vertAlign val="subscript"/>
        <sz val="9"/>
        <rFont val="Arial"/>
        <family val="2"/>
      </rPr>
      <t>yi</t>
    </r>
  </si>
  <si>
    <r>
      <t>H'</t>
    </r>
    <r>
      <rPr>
        <vertAlign val="subscript"/>
        <sz val="9"/>
        <rFont val="Arial"/>
        <family val="2"/>
      </rPr>
      <t>yi</t>
    </r>
  </si>
  <si>
    <r>
      <t>H</t>
    </r>
    <r>
      <rPr>
        <vertAlign val="subscript"/>
        <sz val="9"/>
        <rFont val="Arial"/>
        <family val="2"/>
      </rPr>
      <t>xi</t>
    </r>
  </si>
  <si>
    <r>
      <t>H</t>
    </r>
    <r>
      <rPr>
        <vertAlign val="subscript"/>
        <sz val="9"/>
        <rFont val="Arial"/>
        <family val="2"/>
      </rPr>
      <t>yi</t>
    </r>
  </si>
  <si>
    <r>
      <t>H’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 xml:space="preserve"> cos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 + H’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 xml:space="preserve"> sin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 xml:space="preserve">i </t>
    </r>
  </si>
  <si>
    <r>
      <t>-H’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 xml:space="preserve"> sin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 xml:space="preserve">  + H’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 xml:space="preserve"> cos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 xml:space="preserve">i </t>
    </r>
  </si>
  <si>
    <t>repère des axes principaux du voile i</t>
  </si>
  <si>
    <t>CXY</t>
  </si>
  <si>
    <t>de l'ensemble</t>
  </si>
  <si>
    <t>centre de torsion et axes principaux</t>
  </si>
  <si>
    <t>H. Thonier</t>
  </si>
  <si>
    <t>L'auteur n'est pas</t>
  </si>
  <si>
    <t>l'utilisation faite</t>
  </si>
  <si>
    <t>de ce programme</t>
  </si>
  <si>
    <t>responsable de</t>
  </si>
  <si>
    <t>Chaque voile est défini</t>
  </si>
  <si>
    <t>par rapport aux axes principaux du voile</t>
  </si>
  <si>
    <t>par rapport aux repère initial général</t>
  </si>
  <si>
    <t>d°</t>
  </si>
  <si>
    <r>
      <t>m</t>
    </r>
    <r>
      <rPr>
        <vertAlign val="superscript"/>
        <sz val="9"/>
        <rFont val="Arial"/>
        <family val="2"/>
      </rPr>
      <t>5</t>
    </r>
  </si>
  <si>
    <t>point d'application de H</t>
  </si>
  <si>
    <r>
      <t>= -(I'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>-I'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>) sin(2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>) / (I'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>-I'y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>) cos(2</t>
    </r>
    <r>
      <rPr>
        <sz val="9"/>
        <rFont val="Symbol"/>
        <family val="1"/>
      </rPr>
      <t>q</t>
    </r>
    <r>
      <rPr>
        <vertAlign val="subscript"/>
        <sz val="9"/>
        <rFont val="Arial"/>
        <family val="2"/>
      </rPr>
      <t>i</t>
    </r>
    <r>
      <rPr>
        <sz val="9"/>
        <rFont val="Arial"/>
        <family val="2"/>
      </rPr>
      <t>)</t>
    </r>
  </si>
  <si>
    <r>
      <t>tan(2</t>
    </r>
    <r>
      <rPr>
        <sz val="9"/>
        <rFont val="Symbol"/>
        <family val="1"/>
      </rPr>
      <t>d</t>
    </r>
    <r>
      <rPr>
        <sz val="9"/>
        <rFont val="Arial"/>
        <family val="2"/>
      </rPr>
      <t>)</t>
    </r>
  </si>
  <si>
    <t>151 - Centre de torsion général d'un ensemble de voiles</t>
  </si>
  <si>
    <t>N° du voile</t>
  </si>
  <si>
    <t xml:space="preserve">calculé </t>
  </si>
  <si>
    <t xml:space="preserve">Il est conseillé de prendre comme origine des coordonnées l'angle en bas à gauche </t>
  </si>
  <si>
    <t>que l'on suppose rectangulaire (pour le dessin uniquement)</t>
  </si>
  <si>
    <r>
      <t>Le contreventement du bâtiment est assuré par un ensemble de voiles (</t>
    </r>
    <r>
      <rPr>
        <sz val="10"/>
        <rFont val="Comic Sans MS"/>
        <family val="0"/>
      </rPr>
      <t>≤</t>
    </r>
    <r>
      <rPr>
        <sz val="10"/>
        <rFont val="Arial"/>
        <family val="2"/>
      </rPr>
      <t xml:space="preserve"> 6)</t>
    </r>
  </si>
  <si>
    <t>Les coordonnées des centres de gravité et de torsion de chaque voile sont calculés par le programme</t>
  </si>
  <si>
    <r>
      <t xml:space="preserve">Les axes principaux des voiles et leurs orientations </t>
    </r>
    <r>
      <rPr>
        <sz val="10"/>
        <rFont val="Symbol"/>
        <family val="1"/>
      </rPr>
      <t>q</t>
    </r>
    <r>
      <rPr>
        <sz val="10"/>
        <rFont val="Arial"/>
        <family val="2"/>
      </rPr>
      <t>' sont calculés par le programme.</t>
    </r>
  </si>
  <si>
    <t>Le programme détermine le centre de torsion général et les efforts repris par chaque voile</t>
  </si>
  <si>
    <t>N° 150</t>
  </si>
  <si>
    <r>
      <t>t</t>
    </r>
    <r>
      <rPr>
        <vertAlign val="subscript"/>
        <sz val="9"/>
        <rFont val="Arial"/>
        <family val="2"/>
      </rPr>
      <t>i</t>
    </r>
  </si>
  <si>
    <r>
      <t>h</t>
    </r>
    <r>
      <rPr>
        <vertAlign val="subscript"/>
        <sz val="9"/>
        <rFont val="Arial"/>
        <family val="2"/>
      </rPr>
      <t>i</t>
    </r>
  </si>
  <si>
    <r>
      <t>ou bien</t>
    </r>
    <r>
      <rPr>
        <sz val="9"/>
        <rFont val="Arial"/>
        <family val="2"/>
      </rPr>
      <t xml:space="preserve"> dimensions</t>
    </r>
  </si>
  <si>
    <r>
      <t>Ox</t>
    </r>
    <r>
      <rPr>
        <vertAlign val="subscript"/>
        <sz val="9"/>
        <rFont val="Arial Narrow"/>
        <family val="2"/>
      </rPr>
      <t>i</t>
    </r>
    <r>
      <rPr>
        <sz val="9"/>
        <rFont val="Arial Narrow"/>
        <family val="2"/>
      </rPr>
      <t>y</t>
    </r>
    <r>
      <rPr>
        <vertAlign val="subscript"/>
        <sz val="9"/>
        <rFont val="Arial Narrow"/>
        <family val="2"/>
      </rPr>
      <t>i</t>
    </r>
  </si>
  <si>
    <r>
      <t>Ox'</t>
    </r>
    <r>
      <rPr>
        <vertAlign val="subscript"/>
        <sz val="9"/>
        <rFont val="Arial Narrow"/>
        <family val="2"/>
      </rPr>
      <t>i</t>
    </r>
    <r>
      <rPr>
        <sz val="9"/>
        <rFont val="Arial Narrow"/>
        <family val="2"/>
      </rPr>
      <t>y'</t>
    </r>
    <r>
      <rPr>
        <vertAlign val="subscript"/>
        <sz val="9"/>
        <rFont val="Arial Narrow"/>
        <family val="2"/>
      </rPr>
      <t>i</t>
    </r>
  </si>
  <si>
    <t>repère général Oxy de description</t>
  </si>
  <si>
    <t>des voiles i</t>
  </si>
  <si>
    <t>Efforts pour chaque voile suivant les axes de coordonnées Oxy</t>
  </si>
  <si>
    <t>Chaque voile est défini par ses moments d'inertie principaux et leur orientation</t>
  </si>
  <si>
    <t>ainsi que les coordonnées de son centre de torsion</t>
  </si>
  <si>
    <t>Si le voile est constitué d'un seul rectangle, on entrera directement ses dimensions</t>
  </si>
  <si>
    <t>son orientation et les coordoonnées de son centre</t>
  </si>
  <si>
    <r>
      <t xml:space="preserve">Si un voile est composé d'une suite de rectangles b.h ayant une orientation </t>
    </r>
    <r>
      <rPr>
        <sz val="10"/>
        <rFont val="Symbol"/>
        <family val="1"/>
      </rPr>
      <t>q</t>
    </r>
  </si>
  <si>
    <t>par rapport au repère général, on pourra déterminer les moments</t>
  </si>
  <si>
    <t>d'inertie principaux, l'orientation et les coordonnées du centre de torsion</t>
  </si>
  <si>
    <t>à partir des programmes N° 148 ou 149.</t>
  </si>
  <si>
    <r>
      <t xml:space="preserve">force ext./repère Oxy </t>
    </r>
    <r>
      <rPr>
        <sz val="9"/>
        <rFont val="Arial Narrow"/>
        <family val="2"/>
      </rPr>
      <t>(repère principal)</t>
    </r>
  </si>
  <si>
    <t>1 file d'ouverture pour l'inertie équivalente</t>
  </si>
  <si>
    <t>n files d'ouverture pour l'inertie équivalente</t>
  </si>
  <si>
    <t>Programmes Excel à utiliser</t>
  </si>
  <si>
    <t>Unité</t>
  </si>
  <si>
    <t>(pour un voile simple)</t>
  </si>
  <si>
    <t>(pour un voile composé)</t>
  </si>
  <si>
    <t>Pour le vent N-S : un voile simple et 2 voiles composés</t>
  </si>
  <si>
    <t>Résultats</t>
  </si>
  <si>
    <t>Exploitation des résultats</t>
  </si>
  <si>
    <t>Pour le cente de gravité et le moment d'inertie des voiles composés, voir programme Excel N°150</t>
  </si>
  <si>
    <r>
      <t xml:space="preserve">Exemple </t>
    </r>
    <r>
      <rPr>
        <sz val="10"/>
        <rFont val="Arial"/>
        <family val="2"/>
      </rPr>
      <t>(voir figure ci-jointe à droite)</t>
    </r>
  </si>
  <si>
    <t>(pour un voile composé, voir n° 150)</t>
  </si>
  <si>
    <t>Pour un effort agissant H = 32,3 kN</t>
  </si>
  <si>
    <t>kN // Oy</t>
  </si>
  <si>
    <t>kN // Ox</t>
  </si>
  <si>
    <t>m en abscisse</t>
  </si>
  <si>
    <t>m en ordonnée</t>
  </si>
  <si>
    <t>Exemple - Tome 4 - p. 1310</t>
  </si>
  <si>
    <t>Conception et calvcul ds structures de bâtiment</t>
  </si>
  <si>
    <t>H. Thonier - Presses des Ponts - 1996</t>
  </si>
  <si>
    <t>(pour un voile-rectangle)</t>
  </si>
  <si>
    <t>Voir n° 150 et n° 198</t>
  </si>
  <si>
    <t>centre de torsion d'un voile unicursal</t>
  </si>
  <si>
    <t>centre de torsion d'un voile ouvert quelconque</t>
  </si>
  <si>
    <t>force ext./repère Oxy (repère principal)</t>
  </si>
  <si>
    <r>
      <t>Voile 2 : s = ±6M/(b.h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</si>
  <si>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n°</t>
  </si>
  <si>
    <t>Rectangles rapportés</t>
  </si>
  <si>
    <t>n° étudié</t>
  </si>
  <si>
    <t>n° amont</t>
  </si>
  <si>
    <t>épaisseur</t>
  </si>
  <si>
    <t>longueur</t>
  </si>
  <si>
    <t>orientation</t>
  </si>
  <si>
    <t>"</t>
  </si>
  <si>
    <t>absc. cdg du rectangle</t>
  </si>
  <si>
    <r>
      <t>a</t>
    </r>
    <r>
      <rPr>
        <vertAlign val="subscript"/>
        <sz val="9"/>
        <rFont val="Arial"/>
        <family val="2"/>
      </rPr>
      <t>i</t>
    </r>
  </si>
  <si>
    <t>ord. cdg du rectangle</t>
  </si>
  <si>
    <r>
      <t>b</t>
    </r>
    <r>
      <rPr>
        <vertAlign val="subscript"/>
        <sz val="9"/>
        <rFont val="Arial"/>
        <family val="2"/>
      </rPr>
      <t>i</t>
    </r>
  </si>
  <si>
    <t>Exemple de données du voile composé n° 1 en Té</t>
  </si>
  <si>
    <t>m4</t>
  </si>
  <si>
    <t>Coordonnées / Oxy</t>
  </si>
  <si>
    <t>x</t>
  </si>
  <si>
    <t>y</t>
  </si>
  <si>
    <t>du centre de gravité</t>
  </si>
  <si>
    <t>du centre de torsion</t>
  </si>
  <si>
    <t>Inerties principales et angle</t>
  </si>
  <si>
    <r>
      <t>Inertie principale  I</t>
    </r>
    <r>
      <rPr>
        <vertAlign val="subscript"/>
        <sz val="9"/>
        <rFont val="Arial"/>
        <family val="2"/>
      </rPr>
      <t>1</t>
    </r>
  </si>
  <si>
    <r>
      <t>Inertie principale  I</t>
    </r>
    <r>
      <rPr>
        <vertAlign val="subscript"/>
        <sz val="9"/>
        <rFont val="Arial"/>
        <family val="2"/>
      </rPr>
      <t>2</t>
    </r>
  </si>
  <si>
    <r>
      <t>orientation de l'axe principal I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: </t>
    </r>
    <r>
      <rPr>
        <sz val="9"/>
        <rFont val="Symbol"/>
        <family val="1"/>
      </rPr>
      <t>q</t>
    </r>
  </si>
  <si>
    <t>angle (Oy,axe) en °</t>
  </si>
  <si>
    <t>Exemple de données du voile composé n° 3 en U</t>
  </si>
  <si>
    <t>inerties équivalentes</t>
  </si>
  <si>
    <t>197, 200, 201</t>
  </si>
  <si>
    <t>// Oy</t>
  </si>
  <si>
    <t>// Ox</t>
  </si>
  <si>
    <t>Hy</t>
  </si>
  <si>
    <t>Hx</t>
  </si>
  <si>
    <t>dessin</t>
  </si>
  <si>
    <t>= Atan(D2)/2</t>
  </si>
  <si>
    <t>bâtiment</t>
  </si>
  <si>
    <r>
      <t>somme = H</t>
    </r>
    <r>
      <rPr>
        <vertAlign val="subscript"/>
        <sz val="9"/>
        <rFont val="Arial Narrow"/>
        <family val="2"/>
      </rPr>
      <t xml:space="preserve">x </t>
    </r>
    <r>
      <rPr>
        <sz val="9"/>
        <rFont val="Arial Narrow"/>
        <family val="2"/>
      </rPr>
      <t>?</t>
    </r>
  </si>
  <si>
    <r>
      <t>somme = H</t>
    </r>
    <r>
      <rPr>
        <vertAlign val="subscript"/>
        <sz val="9"/>
        <rFont val="Arial Narrow"/>
        <family val="2"/>
      </rPr>
      <t xml:space="preserve">y </t>
    </r>
    <r>
      <rPr>
        <sz val="9"/>
        <rFont val="Arial Narrow"/>
        <family val="2"/>
      </rPr>
      <t>?</t>
    </r>
  </si>
  <si>
    <t>CdT des voiles</t>
  </si>
  <si>
    <t>CdT global</t>
  </si>
  <si>
    <t>Prendre l'origine des coordonnées à l'angle inférieur gauche du bâtiment</t>
  </si>
  <si>
    <t>A (// Ox)</t>
  </si>
  <si>
    <t>B (// Oy)</t>
  </si>
  <si>
    <t>Dimensions du bâtiment</t>
  </si>
  <si>
    <t>a</t>
  </si>
  <si>
    <r>
      <t>Atan(H</t>
    </r>
    <r>
      <rPr>
        <vertAlign val="subscript"/>
        <sz val="9"/>
        <rFont val="Arial"/>
        <family val="2"/>
      </rPr>
      <t>xi</t>
    </r>
    <r>
      <rPr>
        <sz val="9"/>
        <rFont val="Arial"/>
        <family val="2"/>
      </rPr>
      <t>/H</t>
    </r>
    <r>
      <rPr>
        <vertAlign val="subscript"/>
        <sz val="9"/>
        <rFont val="Arial"/>
        <family val="2"/>
      </rPr>
      <t>yi</t>
    </r>
    <r>
      <rPr>
        <sz val="9"/>
        <rFont val="Arial"/>
        <family val="2"/>
      </rPr>
      <t>)</t>
    </r>
  </si>
  <si>
    <t>résultante</t>
  </si>
  <si>
    <r>
      <t>H</t>
    </r>
    <r>
      <rPr>
        <vertAlign val="subscript"/>
        <sz val="9"/>
        <rFont val="Arial"/>
        <family val="2"/>
      </rPr>
      <t>i</t>
    </r>
  </si>
  <si>
    <r>
      <t>(H</t>
    </r>
    <r>
      <rPr>
        <vertAlign val="subscript"/>
        <sz val="9"/>
        <rFont val="Arial"/>
        <family val="2"/>
      </rPr>
      <t>xi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+ H</t>
    </r>
    <r>
      <rPr>
        <vertAlign val="subscript"/>
        <sz val="9"/>
        <rFont val="Arial"/>
        <family val="2"/>
      </rPr>
      <t>yi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  <r>
      <rPr>
        <vertAlign val="superscript"/>
        <sz val="9"/>
        <rFont val="Arial"/>
        <family val="2"/>
      </rPr>
      <t>0,5</t>
    </r>
  </si>
  <si>
    <t>efforts Hi</t>
  </si>
  <si>
    <t>orientation / Oy</t>
  </si>
  <si>
    <t>(ou bien moment)</t>
  </si>
  <si>
    <t xml:space="preserve">Ce document est protégé par le droit d’auteur © Henry Thonier - EGF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</si>
</sst>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00"/>
    <numFmt numFmtId="167" formatCode="0.000000"/>
    <numFmt numFmtId="168" formatCode="[$-40C]dddd\ d\ mmmm\ yyyy"/>
    <numFmt numFmtId="169" formatCode="d/m/yy;@"/>
    <numFmt numFmtId="170" formatCode="0.000&quot;°&quot;"/>
    <numFmt numFmtId="171" formatCode="#,##0.000"/>
    <numFmt numFmtId="172" formatCode="#,##0.0000"/>
    <numFmt numFmtId="173" formatCode="0.00000"/>
    <numFmt numFmtId="174" formatCode="0.00&quot;°&quot;"/>
  </numFmts>
  <fonts count="3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9"/>
      <name val="Symbol"/>
      <family val="1"/>
    </font>
    <font>
      <vertAlign val="superscript"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8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b/>
      <vertAlign val="subscript"/>
      <sz val="9"/>
      <name val="Tahoma"/>
      <family val="2"/>
    </font>
    <font>
      <b/>
      <vertAlign val="subscript"/>
      <sz val="9"/>
      <name val="Arial"/>
      <family val="2"/>
    </font>
    <font>
      <b/>
      <sz val="9"/>
      <name val="Symbol"/>
      <family val="1"/>
    </font>
    <font>
      <sz val="10"/>
      <name val="Symbol"/>
      <family val="1"/>
    </font>
    <font>
      <sz val="10"/>
      <name val="Comic Sans MS"/>
      <family val="0"/>
    </font>
    <font>
      <sz val="10"/>
      <name val="Arial Narrow"/>
      <family val="2"/>
    </font>
    <font>
      <sz val="9"/>
      <name val="Arial Narrow"/>
      <family val="2"/>
    </font>
    <font>
      <vertAlign val="subscript"/>
      <sz val="9"/>
      <name val="Arial Narrow"/>
      <family val="2"/>
    </font>
    <font>
      <sz val="10"/>
      <color indexed="10"/>
      <name val="Geneva"/>
      <family val="0"/>
    </font>
    <font>
      <b/>
      <sz val="10"/>
      <color indexed="10"/>
      <name val="Geneva"/>
      <family val="0"/>
    </font>
    <font>
      <b/>
      <sz val="9"/>
      <color indexed="12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Helv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8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ck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ck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>
        <color indexed="63"/>
      </top>
      <bottom style="thick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hair"/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12"/>
      </left>
      <right style="thick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 style="thin"/>
      <top>
        <color indexed="63"/>
      </top>
      <bottom>
        <color indexed="63"/>
      </bottom>
    </border>
    <border>
      <left style="medium">
        <color indexed="12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/>
    </xf>
    <xf numFmtId="0" fontId="1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 quotePrefix="1">
      <alignment horizontal="center"/>
      <protection hidden="1"/>
    </xf>
    <xf numFmtId="0" fontId="6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6" fillId="0" borderId="10" xfId="0" applyFont="1" applyBorder="1" applyAlignment="1" quotePrefix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8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/>
    </xf>
    <xf numFmtId="0" fontId="6" fillId="0" borderId="7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/>
    </xf>
    <xf numFmtId="0" fontId="6" fillId="0" borderId="7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6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4" fillId="3" borderId="8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21" fillId="0" borderId="0" xfId="0" applyFont="1" applyAlignment="1">
      <alignment/>
    </xf>
    <xf numFmtId="164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6" fillId="0" borderId="0" xfId="0" applyFont="1" applyAlignment="1">
      <alignment/>
    </xf>
    <xf numFmtId="0" fontId="6" fillId="2" borderId="3" xfId="0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2" borderId="32" xfId="0" applyFont="1" applyFill="1" applyBorder="1" applyAlignment="1" quotePrefix="1">
      <alignment horizontal="right"/>
    </xf>
    <xf numFmtId="0" fontId="12" fillId="2" borderId="3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0" fillId="0" borderId="5" xfId="0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4" borderId="33" xfId="0" applyNumberFormat="1" applyFont="1" applyFill="1" applyBorder="1" applyAlignment="1" applyProtection="1">
      <alignment horizontal="center"/>
      <protection locked="0"/>
    </xf>
    <xf numFmtId="0" fontId="6" fillId="4" borderId="34" xfId="0" applyNumberFormat="1" applyFont="1" applyFill="1" applyBorder="1" applyAlignment="1" applyProtection="1">
      <alignment horizontal="center"/>
      <protection locked="0"/>
    </xf>
    <xf numFmtId="0" fontId="6" fillId="4" borderId="35" xfId="0" applyNumberFormat="1" applyFont="1" applyFill="1" applyBorder="1" applyAlignment="1" applyProtection="1">
      <alignment horizontal="center"/>
      <protection locked="0"/>
    </xf>
    <xf numFmtId="0" fontId="6" fillId="4" borderId="36" xfId="0" applyNumberFormat="1" applyFont="1" applyFill="1" applyBorder="1" applyAlignment="1" applyProtection="1">
      <alignment horizontal="center"/>
      <protection locked="0"/>
    </xf>
    <xf numFmtId="0" fontId="6" fillId="4" borderId="37" xfId="0" applyNumberFormat="1" applyFont="1" applyFill="1" applyBorder="1" applyAlignment="1" applyProtection="1">
      <alignment horizontal="center"/>
      <protection locked="0"/>
    </xf>
    <xf numFmtId="0" fontId="6" fillId="4" borderId="38" xfId="0" applyNumberFormat="1" applyFont="1" applyFill="1" applyBorder="1" applyAlignment="1" applyProtection="1">
      <alignment horizontal="center"/>
      <protection locked="0"/>
    </xf>
    <xf numFmtId="0" fontId="6" fillId="4" borderId="39" xfId="0" applyNumberFormat="1" applyFont="1" applyFill="1" applyBorder="1" applyAlignment="1" applyProtection="1">
      <alignment horizontal="center"/>
      <protection locked="0"/>
    </xf>
    <xf numFmtId="0" fontId="6" fillId="4" borderId="13" xfId="0" applyNumberFormat="1" applyFont="1" applyFill="1" applyBorder="1" applyAlignment="1" applyProtection="1">
      <alignment horizontal="center"/>
      <protection locked="0"/>
    </xf>
    <xf numFmtId="0" fontId="6" fillId="4" borderId="40" xfId="0" applyNumberFormat="1" applyFont="1" applyFill="1" applyBorder="1" applyAlignment="1" applyProtection="1">
      <alignment horizontal="center"/>
      <protection locked="0"/>
    </xf>
    <xf numFmtId="0" fontId="6" fillId="4" borderId="41" xfId="0" applyNumberFormat="1" applyFont="1" applyFill="1" applyBorder="1" applyAlignment="1" applyProtection="1">
      <alignment horizontal="center"/>
      <protection locked="0"/>
    </xf>
    <xf numFmtId="0" fontId="6" fillId="4" borderId="7" xfId="0" applyNumberFormat="1" applyFont="1" applyFill="1" applyBorder="1" applyAlignment="1" applyProtection="1">
      <alignment horizontal="center"/>
      <protection locked="0"/>
    </xf>
    <xf numFmtId="0" fontId="6" fillId="4" borderId="42" xfId="0" applyNumberFormat="1" applyFont="1" applyFill="1" applyBorder="1" applyAlignment="1" applyProtection="1">
      <alignment horizontal="center"/>
      <protection locked="0"/>
    </xf>
    <xf numFmtId="0" fontId="6" fillId="4" borderId="43" xfId="0" applyNumberFormat="1" applyFont="1" applyFill="1" applyBorder="1" applyAlignment="1" applyProtection="1">
      <alignment horizontal="center"/>
      <protection locked="0"/>
    </xf>
    <xf numFmtId="0" fontId="6" fillId="4" borderId="44" xfId="0" applyNumberFormat="1" applyFont="1" applyFill="1" applyBorder="1" applyAlignment="1" applyProtection="1">
      <alignment horizontal="center"/>
      <protection locked="0"/>
    </xf>
    <xf numFmtId="0" fontId="6" fillId="4" borderId="45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/>
    </xf>
    <xf numFmtId="171" fontId="6" fillId="0" borderId="12" xfId="0" applyNumberFormat="1" applyFont="1" applyBorder="1" applyAlignment="1">
      <alignment/>
    </xf>
    <xf numFmtId="165" fontId="4" fillId="3" borderId="8" xfId="0" applyNumberFormat="1" applyFont="1" applyFill="1" applyBorder="1" applyAlignment="1">
      <alignment horizontal="center"/>
    </xf>
    <xf numFmtId="165" fontId="4" fillId="3" borderId="9" xfId="0" applyNumberFormat="1" applyFont="1" applyFill="1" applyBorder="1" applyAlignment="1">
      <alignment horizontal="center"/>
    </xf>
    <xf numFmtId="0" fontId="6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11" fillId="3" borderId="51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6" fillId="0" borderId="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4" fillId="0" borderId="57" xfId="0" applyFont="1" applyBorder="1" applyAlignment="1">
      <alignment horizontal="centerContinuous"/>
    </xf>
    <xf numFmtId="0" fontId="6" fillId="4" borderId="33" xfId="0" applyFont="1" applyFill="1" applyBorder="1" applyAlignment="1" applyProtection="1">
      <alignment horizontal="center"/>
      <protection locked="0"/>
    </xf>
    <xf numFmtId="0" fontId="6" fillId="4" borderId="34" xfId="0" applyFont="1" applyFill="1" applyBorder="1" applyAlignment="1" applyProtection="1">
      <alignment horizontal="center"/>
      <protection locked="0"/>
    </xf>
    <xf numFmtId="0" fontId="6" fillId="4" borderId="41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horizontal="center"/>
      <protection locked="0"/>
    </xf>
    <xf numFmtId="0" fontId="6" fillId="4" borderId="36" xfId="0" applyFont="1" applyFill="1" applyBorder="1" applyAlignment="1" applyProtection="1">
      <alignment horizontal="center"/>
      <protection locked="0"/>
    </xf>
    <xf numFmtId="0" fontId="6" fillId="4" borderId="58" xfId="0" applyFont="1" applyFill="1" applyBorder="1" applyAlignment="1" applyProtection="1">
      <alignment horizontal="center"/>
      <protection locked="0"/>
    </xf>
    <xf numFmtId="165" fontId="6" fillId="0" borderId="5" xfId="0" applyNumberFormat="1" applyFont="1" applyBorder="1" applyAlignment="1">
      <alignment horizontal="center"/>
    </xf>
    <xf numFmtId="0" fontId="6" fillId="4" borderId="37" xfId="0" applyFont="1" applyFill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center"/>
    </xf>
    <xf numFmtId="0" fontId="6" fillId="4" borderId="35" xfId="0" applyFont="1" applyFill="1" applyBorder="1" applyAlignment="1" applyProtection="1">
      <alignment horizontal="center"/>
      <protection locked="0"/>
    </xf>
    <xf numFmtId="0" fontId="6" fillId="4" borderId="42" xfId="0" applyFont="1" applyFill="1" applyBorder="1" applyAlignment="1" applyProtection="1">
      <alignment horizontal="center"/>
      <protection locked="0"/>
    </xf>
    <xf numFmtId="0" fontId="6" fillId="4" borderId="38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right"/>
    </xf>
    <xf numFmtId="0" fontId="0" fillId="0" borderId="0" xfId="0" applyBorder="1" applyAlignment="1">
      <alignment/>
    </xf>
    <xf numFmtId="164" fontId="5" fillId="3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4" fontId="6" fillId="4" borderId="33" xfId="0" applyNumberFormat="1" applyFont="1" applyFill="1" applyBorder="1" applyAlignment="1" applyProtection="1">
      <alignment horizontal="center"/>
      <protection locked="0"/>
    </xf>
    <xf numFmtId="164" fontId="6" fillId="4" borderId="3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57" xfId="0" applyFont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  <xf numFmtId="165" fontId="6" fillId="3" borderId="9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3" borderId="7" xfId="0" applyNumberFormat="1" applyFont="1" applyFill="1" applyBorder="1" applyAlignment="1">
      <alignment horizontal="center"/>
    </xf>
    <xf numFmtId="165" fontId="6" fillId="3" borderId="7" xfId="0" applyNumberFormat="1" applyFont="1" applyFill="1" applyBorder="1" applyAlignment="1">
      <alignment horizontal="center"/>
    </xf>
    <xf numFmtId="0" fontId="11" fillId="0" borderId="59" xfId="0" applyFont="1" applyBorder="1" applyAlignment="1">
      <alignment horizontal="left"/>
    </xf>
    <xf numFmtId="0" fontId="5" fillId="0" borderId="59" xfId="0" applyFont="1" applyBorder="1" applyAlignment="1">
      <alignment/>
    </xf>
    <xf numFmtId="0" fontId="5" fillId="0" borderId="59" xfId="0" applyFont="1" applyBorder="1" applyAlignment="1">
      <alignment horizontal="left"/>
    </xf>
    <xf numFmtId="0" fontId="5" fillId="0" borderId="60" xfId="0" applyFont="1" applyBorder="1" applyAlignment="1">
      <alignment/>
    </xf>
    <xf numFmtId="0" fontId="0" fillId="0" borderId="61" xfId="0" applyBorder="1" applyAlignment="1">
      <alignment/>
    </xf>
    <xf numFmtId="0" fontId="5" fillId="0" borderId="62" xfId="0" applyFont="1" applyBorder="1" applyAlignment="1">
      <alignment/>
    </xf>
    <xf numFmtId="0" fontId="6" fillId="0" borderId="62" xfId="0" applyFont="1" applyBorder="1" applyAlignment="1">
      <alignment horizontal="center"/>
    </xf>
    <xf numFmtId="0" fontId="32" fillId="0" borderId="62" xfId="0" applyFont="1" applyBorder="1" applyAlignment="1">
      <alignment horizontal="center"/>
    </xf>
    <xf numFmtId="0" fontId="33" fillId="0" borderId="6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 hidden="1"/>
    </xf>
    <xf numFmtId="0" fontId="0" fillId="0" borderId="62" xfId="0" applyBorder="1" applyAlignment="1">
      <alignment/>
    </xf>
    <xf numFmtId="0" fontId="3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5" fillId="0" borderId="64" xfId="0" applyFont="1" applyBorder="1" applyAlignment="1">
      <alignment/>
    </xf>
    <xf numFmtId="0" fontId="6" fillId="0" borderId="64" xfId="0" applyFont="1" applyBorder="1" applyAlignment="1">
      <alignment horizontal="center"/>
    </xf>
    <xf numFmtId="172" fontId="6" fillId="3" borderId="65" xfId="0" applyNumberFormat="1" applyFont="1" applyFill="1" applyBorder="1" applyAlignment="1">
      <alignment horizontal="center"/>
    </xf>
    <xf numFmtId="0" fontId="6" fillId="0" borderId="64" xfId="0" applyFont="1" applyBorder="1" applyAlignment="1">
      <alignment/>
    </xf>
    <xf numFmtId="0" fontId="0" fillId="0" borderId="66" xfId="0" applyBorder="1" applyAlignment="1">
      <alignment/>
    </xf>
    <xf numFmtId="0" fontId="11" fillId="0" borderId="61" xfId="0" applyFont="1" applyBorder="1" applyAlignment="1">
      <alignment horizontal="left"/>
    </xf>
    <xf numFmtId="0" fontId="0" fillId="0" borderId="60" xfId="0" applyBorder="1" applyAlignment="1">
      <alignment/>
    </xf>
    <xf numFmtId="0" fontId="6" fillId="0" borderId="62" xfId="0" applyFont="1" applyBorder="1" applyAlignment="1">
      <alignment horizontal="right"/>
    </xf>
    <xf numFmtId="0" fontId="6" fillId="0" borderId="62" xfId="0" applyFont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0" fillId="0" borderId="50" xfId="0" applyBorder="1" applyAlignment="1">
      <alignment/>
    </xf>
    <xf numFmtId="0" fontId="5" fillId="0" borderId="67" xfId="0" applyFont="1" applyBorder="1" applyAlignment="1">
      <alignment horizontal="centerContinuous"/>
    </xf>
    <xf numFmtId="0" fontId="5" fillId="0" borderId="68" xfId="0" applyFont="1" applyBorder="1" applyAlignment="1">
      <alignment horizontal="centerContinuous"/>
    </xf>
    <xf numFmtId="0" fontId="5" fillId="0" borderId="5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9" xfId="0" applyFont="1" applyBorder="1" applyAlignment="1">
      <alignment horizontal="right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11" fillId="0" borderId="71" xfId="0" applyFont="1" applyBorder="1" applyAlignment="1">
      <alignment horizontal="left"/>
    </xf>
    <xf numFmtId="0" fontId="6" fillId="0" borderId="51" xfId="0" applyFont="1" applyBorder="1" applyAlignment="1">
      <alignment horizontal="center"/>
    </xf>
    <xf numFmtId="0" fontId="5" fillId="0" borderId="72" xfId="0" applyFont="1" applyBorder="1" applyAlignment="1">
      <alignment horizontal="right"/>
    </xf>
    <xf numFmtId="0" fontId="5" fillId="0" borderId="73" xfId="0" applyFont="1" applyBorder="1" applyAlignment="1">
      <alignment horizontal="right"/>
    </xf>
    <xf numFmtId="0" fontId="6" fillId="4" borderId="74" xfId="0" applyFont="1" applyFill="1" applyBorder="1" applyAlignment="1" applyProtection="1">
      <alignment horizontal="center"/>
      <protection locked="0"/>
    </xf>
    <xf numFmtId="165" fontId="6" fillId="4" borderId="7" xfId="0" applyNumberFormat="1" applyFont="1" applyFill="1" applyBorder="1" applyAlignment="1" applyProtection="1">
      <alignment horizontal="center"/>
      <protection locked="0"/>
    </xf>
    <xf numFmtId="164" fontId="6" fillId="4" borderId="34" xfId="0" applyNumberFormat="1" applyFont="1" applyFill="1" applyBorder="1" applyAlignment="1" applyProtection="1">
      <alignment horizontal="center"/>
      <protection locked="0"/>
    </xf>
    <xf numFmtId="164" fontId="6" fillId="4" borderId="37" xfId="0" applyNumberFormat="1" applyFont="1" applyFill="1" applyBorder="1" applyAlignment="1" applyProtection="1">
      <alignment horizontal="center"/>
      <protection locked="0"/>
    </xf>
    <xf numFmtId="4" fontId="6" fillId="4" borderId="33" xfId="0" applyNumberFormat="1" applyFont="1" applyFill="1" applyBorder="1" applyAlignment="1" applyProtection="1">
      <alignment horizontal="center"/>
      <protection locked="0"/>
    </xf>
    <xf numFmtId="4" fontId="6" fillId="4" borderId="34" xfId="0" applyNumberFormat="1" applyFont="1" applyFill="1" applyBorder="1" applyAlignment="1" applyProtection="1">
      <alignment horizontal="center"/>
      <protection locked="0"/>
    </xf>
    <xf numFmtId="0" fontId="4" fillId="0" borderId="75" xfId="0" applyNumberFormat="1" applyFont="1" applyBorder="1" applyAlignment="1">
      <alignment horizontal="left"/>
    </xf>
    <xf numFmtId="0" fontId="6" fillId="0" borderId="68" xfId="0" applyFont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4" fillId="3" borderId="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5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174" fontId="6" fillId="0" borderId="21" xfId="0" applyNumberFormat="1" applyFont="1" applyBorder="1" applyAlignment="1">
      <alignment horizontal="center"/>
    </xf>
    <xf numFmtId="165" fontId="22" fillId="0" borderId="0" xfId="0" applyNumberFormat="1" applyFont="1" applyBorder="1" applyAlignment="1" quotePrefix="1">
      <alignment/>
    </xf>
    <xf numFmtId="164" fontId="6" fillId="2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6" fillId="4" borderId="43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6" fillId="0" borderId="7" xfId="0" applyFont="1" applyBorder="1" applyAlignment="1" quotePrefix="1">
      <alignment horizontal="left"/>
    </xf>
    <xf numFmtId="0" fontId="4" fillId="3" borderId="7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67" xfId="0" applyFont="1" applyBorder="1" applyAlignment="1">
      <alignment horizontal="centerContinuous"/>
    </xf>
    <xf numFmtId="0" fontId="4" fillId="0" borderId="67" xfId="0" applyFont="1" applyBorder="1" applyAlignment="1">
      <alignment horizontal="centerContinuous"/>
    </xf>
    <xf numFmtId="0" fontId="10" fillId="0" borderId="67" xfId="0" applyFont="1" applyBorder="1" applyAlignment="1">
      <alignment horizontal="centerContinuous"/>
    </xf>
    <xf numFmtId="0" fontId="6" fillId="0" borderId="75" xfId="0" applyFont="1" applyBorder="1" applyAlignment="1">
      <alignment horizontal="centerContinuous"/>
    </xf>
    <xf numFmtId="171" fontId="6" fillId="0" borderId="11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7" xfId="0" applyFont="1" applyBorder="1" applyAlignment="1">
      <alignment horizontal="right"/>
    </xf>
    <xf numFmtId="2" fontId="6" fillId="0" borderId="7" xfId="0" applyNumberFormat="1" applyFont="1" applyBorder="1" applyAlignment="1">
      <alignment horizontal="center"/>
    </xf>
    <xf numFmtId="0" fontId="5" fillId="0" borderId="57" xfId="0" applyFont="1" applyBorder="1" applyAlignment="1">
      <alignment/>
    </xf>
    <xf numFmtId="2" fontId="5" fillId="0" borderId="2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76" xfId="0" applyFont="1" applyBorder="1" applyAlignment="1">
      <alignment horizontal="center"/>
    </xf>
  </cellXfs>
  <cellStyles count="3">
    <cellStyle name="Normal" xfId="0"/>
    <cellStyle name="Hyperlink" xfId="15"/>
    <cellStyle name="Followed Hyperlink" xfId="16"/>
  </cellStyles>
  <dxfs count="2">
    <dxf>
      <font>
        <b val="0"/>
        <i val="0"/>
        <color rgb="FF96969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Calcul!$AM$25</c:f>
              <c:strCache>
                <c:ptCount val="1"/>
                <c:pt idx="0">
                  <c:v>CdT des voiles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Calcul!$AL$26:$AL$63</c:f>
              <c:numCache>
                <c:ptCount val="38"/>
                <c:pt idx="0">
                  <c:v>4</c:v>
                </c:pt>
                <c:pt idx="1">
                  <c:v>12</c:v>
                </c:pt>
                <c:pt idx="2">
                  <c:v>21.6275</c:v>
                </c:pt>
                <c:pt idx="3">
                  <c:v>21.6275</c:v>
                </c:pt>
                <c:pt idx="4">
                  <c:v>21.6275</c:v>
                </c:pt>
                <c:pt idx="5">
                  <c:v>21.6275</c:v>
                </c:pt>
                <c:pt idx="7">
                  <c:v>10.94950767883944</c:v>
                </c:pt>
                <c:pt idx="9">
                  <c:v>13</c:v>
                </c:pt>
                <c:pt idx="10">
                  <c:v>13</c:v>
                </c:pt>
                <c:pt idx="12">
                  <c:v>0</c:v>
                </c:pt>
                <c:pt idx="13">
                  <c:v>-2.189901535767888</c:v>
                </c:pt>
                <c:pt idx="15">
                  <c:v>0</c:v>
                </c:pt>
                <c:pt idx="16">
                  <c:v>26</c:v>
                </c:pt>
                <c:pt idx="17">
                  <c:v>26</c:v>
                </c:pt>
                <c:pt idx="18">
                  <c:v>0</c:v>
                </c:pt>
                <c:pt idx="19">
                  <c:v>0</c:v>
                </c:pt>
                <c:pt idx="21">
                  <c:v>4</c:v>
                </c:pt>
                <c:pt idx="22">
                  <c:v>3.752520306494558</c:v>
                </c:pt>
                <c:pt idx="24">
                  <c:v>12</c:v>
                </c:pt>
                <c:pt idx="25">
                  <c:v>12.369615605614374</c:v>
                </c:pt>
                <c:pt idx="27">
                  <c:v>21.6275</c:v>
                </c:pt>
                <c:pt idx="28">
                  <c:v>21.50536408789107</c:v>
                </c:pt>
                <c:pt idx="30">
                  <c:v>21.6275</c:v>
                </c:pt>
                <c:pt idx="31">
                  <c:v>21.6275</c:v>
                </c:pt>
                <c:pt idx="33">
                  <c:v>21.6275</c:v>
                </c:pt>
                <c:pt idx="34">
                  <c:v>21.6275</c:v>
                </c:pt>
                <c:pt idx="36">
                  <c:v>21.6275</c:v>
                </c:pt>
                <c:pt idx="37">
                  <c:v>21.6275</c:v>
                </c:pt>
              </c:numCache>
            </c:numRef>
          </c:xVal>
          <c:yVal>
            <c:numRef>
              <c:f>Calcul!$AM$26:$AM$63</c:f>
              <c:numCache>
                <c:ptCount val="38"/>
                <c:pt idx="0">
                  <c:v>10.925</c:v>
                </c:pt>
                <c:pt idx="1">
                  <c:v>7</c:v>
                </c:pt>
                <c:pt idx="2">
                  <c:v>8.5</c:v>
                </c:pt>
                <c:pt idx="3">
                  <c:v>8.5</c:v>
                </c:pt>
                <c:pt idx="4">
                  <c:v>8.5</c:v>
                </c:pt>
                <c:pt idx="5">
                  <c:v>8.5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Calcul!$AN$25</c:f>
              <c:strCache>
                <c:ptCount val="1"/>
                <c:pt idx="0">
                  <c:v>CdT global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Calcul!$AL$26:$AL$63</c:f>
              <c:numCache>
                <c:ptCount val="38"/>
                <c:pt idx="0">
                  <c:v>4</c:v>
                </c:pt>
                <c:pt idx="1">
                  <c:v>12</c:v>
                </c:pt>
                <c:pt idx="2">
                  <c:v>21.6275</c:v>
                </c:pt>
                <c:pt idx="3">
                  <c:v>21.6275</c:v>
                </c:pt>
                <c:pt idx="4">
                  <c:v>21.6275</c:v>
                </c:pt>
                <c:pt idx="5">
                  <c:v>21.6275</c:v>
                </c:pt>
                <c:pt idx="7">
                  <c:v>10.94950767883944</c:v>
                </c:pt>
                <c:pt idx="9">
                  <c:v>13</c:v>
                </c:pt>
                <c:pt idx="10">
                  <c:v>13</c:v>
                </c:pt>
                <c:pt idx="12">
                  <c:v>0</c:v>
                </c:pt>
                <c:pt idx="13">
                  <c:v>-2.189901535767888</c:v>
                </c:pt>
                <c:pt idx="15">
                  <c:v>0</c:v>
                </c:pt>
                <c:pt idx="16">
                  <c:v>26</c:v>
                </c:pt>
                <c:pt idx="17">
                  <c:v>26</c:v>
                </c:pt>
                <c:pt idx="18">
                  <c:v>0</c:v>
                </c:pt>
                <c:pt idx="19">
                  <c:v>0</c:v>
                </c:pt>
                <c:pt idx="21">
                  <c:v>4</c:v>
                </c:pt>
                <c:pt idx="22">
                  <c:v>3.752520306494558</c:v>
                </c:pt>
                <c:pt idx="24">
                  <c:v>12</c:v>
                </c:pt>
                <c:pt idx="25">
                  <c:v>12.369615605614374</c:v>
                </c:pt>
                <c:pt idx="27">
                  <c:v>21.6275</c:v>
                </c:pt>
                <c:pt idx="28">
                  <c:v>21.50536408789107</c:v>
                </c:pt>
                <c:pt idx="30">
                  <c:v>21.6275</c:v>
                </c:pt>
                <c:pt idx="31">
                  <c:v>21.6275</c:v>
                </c:pt>
                <c:pt idx="33">
                  <c:v>21.6275</c:v>
                </c:pt>
                <c:pt idx="34">
                  <c:v>21.6275</c:v>
                </c:pt>
                <c:pt idx="36">
                  <c:v>21.6275</c:v>
                </c:pt>
                <c:pt idx="37">
                  <c:v>21.6275</c:v>
                </c:pt>
              </c:numCache>
            </c:numRef>
          </c:xVal>
          <c:yVal>
            <c:numRef>
              <c:f>Calcul!$AN$26:$AN$63</c:f>
              <c:numCache>
                <c:ptCount val="38"/>
                <c:pt idx="7">
                  <c:v>10.306070949359928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Calcul!$AO$25</c:f>
              <c:strCache>
                <c:ptCount val="1"/>
                <c:pt idx="0">
                  <c:v>Hy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Calcul!$AL$26:$AL$63</c:f>
              <c:numCache>
                <c:ptCount val="38"/>
                <c:pt idx="0">
                  <c:v>4</c:v>
                </c:pt>
                <c:pt idx="1">
                  <c:v>12</c:v>
                </c:pt>
                <c:pt idx="2">
                  <c:v>21.6275</c:v>
                </c:pt>
                <c:pt idx="3">
                  <c:v>21.6275</c:v>
                </c:pt>
                <c:pt idx="4">
                  <c:v>21.6275</c:v>
                </c:pt>
                <c:pt idx="5">
                  <c:v>21.6275</c:v>
                </c:pt>
                <c:pt idx="7">
                  <c:v>10.94950767883944</c:v>
                </c:pt>
                <c:pt idx="9">
                  <c:v>13</c:v>
                </c:pt>
                <c:pt idx="10">
                  <c:v>13</c:v>
                </c:pt>
                <c:pt idx="12">
                  <c:v>0</c:v>
                </c:pt>
                <c:pt idx="13">
                  <c:v>-2.189901535767888</c:v>
                </c:pt>
                <c:pt idx="15">
                  <c:v>0</c:v>
                </c:pt>
                <c:pt idx="16">
                  <c:v>26</c:v>
                </c:pt>
                <c:pt idx="17">
                  <c:v>26</c:v>
                </c:pt>
                <c:pt idx="18">
                  <c:v>0</c:v>
                </c:pt>
                <c:pt idx="19">
                  <c:v>0</c:v>
                </c:pt>
                <c:pt idx="21">
                  <c:v>4</c:v>
                </c:pt>
                <c:pt idx="22">
                  <c:v>3.752520306494558</c:v>
                </c:pt>
                <c:pt idx="24">
                  <c:v>12</c:v>
                </c:pt>
                <c:pt idx="25">
                  <c:v>12.369615605614374</c:v>
                </c:pt>
                <c:pt idx="27">
                  <c:v>21.6275</c:v>
                </c:pt>
                <c:pt idx="28">
                  <c:v>21.50536408789107</c:v>
                </c:pt>
                <c:pt idx="30">
                  <c:v>21.6275</c:v>
                </c:pt>
                <c:pt idx="31">
                  <c:v>21.6275</c:v>
                </c:pt>
                <c:pt idx="33">
                  <c:v>21.6275</c:v>
                </c:pt>
                <c:pt idx="34">
                  <c:v>21.6275</c:v>
                </c:pt>
                <c:pt idx="36">
                  <c:v>21.6275</c:v>
                </c:pt>
                <c:pt idx="37">
                  <c:v>21.6275</c:v>
                </c:pt>
              </c:numCache>
            </c:numRef>
          </c:xVal>
          <c:yVal>
            <c:numRef>
              <c:f>Calcul!$AO$26:$AO$63</c:f>
              <c:numCache>
                <c:ptCount val="38"/>
                <c:pt idx="9">
                  <c:v>-2.0612141898719853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Calcul!$AP$25</c:f>
              <c:strCache>
                <c:ptCount val="1"/>
                <c:pt idx="0">
                  <c:v>Hx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Calcul!$AL$26:$AL$63</c:f>
              <c:numCache>
                <c:ptCount val="38"/>
                <c:pt idx="0">
                  <c:v>4</c:v>
                </c:pt>
                <c:pt idx="1">
                  <c:v>12</c:v>
                </c:pt>
                <c:pt idx="2">
                  <c:v>21.6275</c:v>
                </c:pt>
                <c:pt idx="3">
                  <c:v>21.6275</c:v>
                </c:pt>
                <c:pt idx="4">
                  <c:v>21.6275</c:v>
                </c:pt>
                <c:pt idx="5">
                  <c:v>21.6275</c:v>
                </c:pt>
                <c:pt idx="7">
                  <c:v>10.94950767883944</c:v>
                </c:pt>
                <c:pt idx="9">
                  <c:v>13</c:v>
                </c:pt>
                <c:pt idx="10">
                  <c:v>13</c:v>
                </c:pt>
                <c:pt idx="12">
                  <c:v>0</c:v>
                </c:pt>
                <c:pt idx="13">
                  <c:v>-2.189901535767888</c:v>
                </c:pt>
                <c:pt idx="15">
                  <c:v>0</c:v>
                </c:pt>
                <c:pt idx="16">
                  <c:v>26</c:v>
                </c:pt>
                <c:pt idx="17">
                  <c:v>26</c:v>
                </c:pt>
                <c:pt idx="18">
                  <c:v>0</c:v>
                </c:pt>
                <c:pt idx="19">
                  <c:v>0</c:v>
                </c:pt>
                <c:pt idx="21">
                  <c:v>4</c:v>
                </c:pt>
                <c:pt idx="22">
                  <c:v>3.752520306494558</c:v>
                </c:pt>
                <c:pt idx="24">
                  <c:v>12</c:v>
                </c:pt>
                <c:pt idx="25">
                  <c:v>12.369615605614374</c:v>
                </c:pt>
                <c:pt idx="27">
                  <c:v>21.6275</c:v>
                </c:pt>
                <c:pt idx="28">
                  <c:v>21.50536408789107</c:v>
                </c:pt>
                <c:pt idx="30">
                  <c:v>21.6275</c:v>
                </c:pt>
                <c:pt idx="31">
                  <c:v>21.6275</c:v>
                </c:pt>
                <c:pt idx="33">
                  <c:v>21.6275</c:v>
                </c:pt>
                <c:pt idx="34">
                  <c:v>21.6275</c:v>
                </c:pt>
                <c:pt idx="36">
                  <c:v>21.6275</c:v>
                </c:pt>
                <c:pt idx="37">
                  <c:v>21.6275</c:v>
                </c:pt>
              </c:numCache>
            </c:numRef>
          </c:xVal>
          <c:yVal>
            <c:numRef>
              <c:f>Calcul!$AP$26:$AP$63</c:f>
              <c:numCache>
                <c:ptCount val="38"/>
                <c:pt idx="12">
                  <c:v>7</c:v>
                </c:pt>
                <c:pt idx="13">
                  <c:v>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Calcul!$AQ$25</c:f>
              <c:strCache>
                <c:ptCount val="1"/>
                <c:pt idx="0">
                  <c:v>bâtiment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Calcul!$AL$26:$AL$63</c:f>
              <c:numCache>
                <c:ptCount val="38"/>
                <c:pt idx="0">
                  <c:v>4</c:v>
                </c:pt>
                <c:pt idx="1">
                  <c:v>12</c:v>
                </c:pt>
                <c:pt idx="2">
                  <c:v>21.6275</c:v>
                </c:pt>
                <c:pt idx="3">
                  <c:v>21.6275</c:v>
                </c:pt>
                <c:pt idx="4">
                  <c:v>21.6275</c:v>
                </c:pt>
                <c:pt idx="5">
                  <c:v>21.6275</c:v>
                </c:pt>
                <c:pt idx="7">
                  <c:v>10.94950767883944</c:v>
                </c:pt>
                <c:pt idx="9">
                  <c:v>13</c:v>
                </c:pt>
                <c:pt idx="10">
                  <c:v>13</c:v>
                </c:pt>
                <c:pt idx="12">
                  <c:v>0</c:v>
                </c:pt>
                <c:pt idx="13">
                  <c:v>-2.189901535767888</c:v>
                </c:pt>
                <c:pt idx="15">
                  <c:v>0</c:v>
                </c:pt>
                <c:pt idx="16">
                  <c:v>26</c:v>
                </c:pt>
                <c:pt idx="17">
                  <c:v>26</c:v>
                </c:pt>
                <c:pt idx="18">
                  <c:v>0</c:v>
                </c:pt>
                <c:pt idx="19">
                  <c:v>0</c:v>
                </c:pt>
                <c:pt idx="21">
                  <c:v>4</c:v>
                </c:pt>
                <c:pt idx="22">
                  <c:v>3.752520306494558</c:v>
                </c:pt>
                <c:pt idx="24">
                  <c:v>12</c:v>
                </c:pt>
                <c:pt idx="25">
                  <c:v>12.369615605614374</c:v>
                </c:pt>
                <c:pt idx="27">
                  <c:v>21.6275</c:v>
                </c:pt>
                <c:pt idx="28">
                  <c:v>21.50536408789107</c:v>
                </c:pt>
                <c:pt idx="30">
                  <c:v>21.6275</c:v>
                </c:pt>
                <c:pt idx="31">
                  <c:v>21.6275</c:v>
                </c:pt>
                <c:pt idx="33">
                  <c:v>21.6275</c:v>
                </c:pt>
                <c:pt idx="34">
                  <c:v>21.6275</c:v>
                </c:pt>
                <c:pt idx="36">
                  <c:v>21.6275</c:v>
                </c:pt>
                <c:pt idx="37">
                  <c:v>21.6275</c:v>
                </c:pt>
              </c:numCache>
            </c:numRef>
          </c:xVal>
          <c:yVal>
            <c:numRef>
              <c:f>Calcul!$AQ$26:$AQ$63</c:f>
              <c:numCache>
                <c:ptCount val="38"/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14</c:v>
                </c:pt>
                <c:pt idx="1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Calcul!$AR$25</c:f>
              <c:strCache>
                <c:ptCount val="1"/>
                <c:pt idx="0">
                  <c:v>efforts Hi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Calcul!$AL$26:$AL$63</c:f>
              <c:numCache>
                <c:ptCount val="38"/>
                <c:pt idx="0">
                  <c:v>4</c:v>
                </c:pt>
                <c:pt idx="1">
                  <c:v>12</c:v>
                </c:pt>
                <c:pt idx="2">
                  <c:v>21.6275</c:v>
                </c:pt>
                <c:pt idx="3">
                  <c:v>21.6275</c:v>
                </c:pt>
                <c:pt idx="4">
                  <c:v>21.6275</c:v>
                </c:pt>
                <c:pt idx="5">
                  <c:v>21.6275</c:v>
                </c:pt>
                <c:pt idx="7">
                  <c:v>10.94950767883944</c:v>
                </c:pt>
                <c:pt idx="9">
                  <c:v>13</c:v>
                </c:pt>
                <c:pt idx="10">
                  <c:v>13</c:v>
                </c:pt>
                <c:pt idx="12">
                  <c:v>0</c:v>
                </c:pt>
                <c:pt idx="13">
                  <c:v>-2.189901535767888</c:v>
                </c:pt>
                <c:pt idx="15">
                  <c:v>0</c:v>
                </c:pt>
                <c:pt idx="16">
                  <c:v>26</c:v>
                </c:pt>
                <c:pt idx="17">
                  <c:v>26</c:v>
                </c:pt>
                <c:pt idx="18">
                  <c:v>0</c:v>
                </c:pt>
                <c:pt idx="19">
                  <c:v>0</c:v>
                </c:pt>
                <c:pt idx="21">
                  <c:v>4</c:v>
                </c:pt>
                <c:pt idx="22">
                  <c:v>3.752520306494558</c:v>
                </c:pt>
                <c:pt idx="24">
                  <c:v>12</c:v>
                </c:pt>
                <c:pt idx="25">
                  <c:v>12.369615605614374</c:v>
                </c:pt>
                <c:pt idx="27">
                  <c:v>21.6275</c:v>
                </c:pt>
                <c:pt idx="28">
                  <c:v>21.50536408789107</c:v>
                </c:pt>
                <c:pt idx="30">
                  <c:v>21.6275</c:v>
                </c:pt>
                <c:pt idx="31">
                  <c:v>21.6275</c:v>
                </c:pt>
                <c:pt idx="33">
                  <c:v>21.6275</c:v>
                </c:pt>
                <c:pt idx="34">
                  <c:v>21.6275</c:v>
                </c:pt>
                <c:pt idx="36">
                  <c:v>21.6275</c:v>
                </c:pt>
                <c:pt idx="37">
                  <c:v>21.6275</c:v>
                </c:pt>
              </c:numCache>
            </c:numRef>
          </c:xVal>
          <c:yVal>
            <c:numRef>
              <c:f>Calcul!$AR$26:$AR$63</c:f>
              <c:numCache>
                <c:ptCount val="38"/>
                <c:pt idx="21">
                  <c:v>10.925</c:v>
                </c:pt>
                <c:pt idx="22">
                  <c:v>12.9292517879246</c:v>
                </c:pt>
                <c:pt idx="24">
                  <c:v>7</c:v>
                </c:pt>
                <c:pt idx="25">
                  <c:v>8.38244839406809</c:v>
                </c:pt>
                <c:pt idx="27">
                  <c:v>8.5</c:v>
                </c:pt>
                <c:pt idx="28">
                  <c:v>10.884848003542364</c:v>
                </c:pt>
                <c:pt idx="30">
                  <c:v>8.5</c:v>
                </c:pt>
                <c:pt idx="31">
                  <c:v>8.5</c:v>
                </c:pt>
                <c:pt idx="33">
                  <c:v>8.5</c:v>
                </c:pt>
                <c:pt idx="34">
                  <c:v>8.5</c:v>
                </c:pt>
                <c:pt idx="36">
                  <c:v>8.5</c:v>
                </c:pt>
                <c:pt idx="37">
                  <c:v>8.5</c:v>
                </c:pt>
              </c:numCache>
            </c:numRef>
          </c:yVal>
          <c:smooth val="0"/>
        </c:ser>
        <c:axId val="55025664"/>
        <c:axId val="25468929"/>
      </c:scatterChart>
      <c:valAx>
        <c:axId val="5502566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468929"/>
        <c:crosses val="autoZero"/>
        <c:crossBetween val="midCat"/>
        <c:dispUnits/>
        <c:majorUnit val="2"/>
      </c:valAx>
      <c:valAx>
        <c:axId val="254689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025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542925</xdr:colOff>
      <xdr:row>35</xdr:row>
      <xdr:rowOff>19050</xdr:rowOff>
    </xdr:from>
    <xdr:to>
      <xdr:col>18</xdr:col>
      <xdr:colOff>9525</xdr:colOff>
      <xdr:row>44</xdr:row>
      <xdr:rowOff>142875</xdr:rowOff>
    </xdr:to>
    <xdr:sp>
      <xdr:nvSpPr>
        <xdr:cNvPr id="1" name="Rectangle 35"/>
        <xdr:cNvSpPr>
          <a:spLocks/>
        </xdr:cNvSpPr>
      </xdr:nvSpPr>
      <xdr:spPr>
        <a:xfrm>
          <a:off x="12258675" y="6143625"/>
          <a:ext cx="9525" cy="1771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17</xdr:col>
      <xdr:colOff>542925</xdr:colOff>
      <xdr:row>57</xdr:row>
      <xdr:rowOff>19050</xdr:rowOff>
    </xdr:from>
    <xdr:to>
      <xdr:col>18</xdr:col>
      <xdr:colOff>9525</xdr:colOff>
      <xdr:row>66</xdr:row>
      <xdr:rowOff>133350</xdr:rowOff>
    </xdr:to>
    <xdr:sp>
      <xdr:nvSpPr>
        <xdr:cNvPr id="2" name="Rectangle 38"/>
        <xdr:cNvSpPr>
          <a:spLocks/>
        </xdr:cNvSpPr>
      </xdr:nvSpPr>
      <xdr:spPr>
        <a:xfrm>
          <a:off x="12258675" y="10029825"/>
          <a:ext cx="9525" cy="173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1123950</xdr:colOff>
      <xdr:row>84</xdr:row>
      <xdr:rowOff>28575</xdr:rowOff>
    </xdr:from>
    <xdr:to>
      <xdr:col>9</xdr:col>
      <xdr:colOff>85725</xdr:colOff>
      <xdr:row>105</xdr:row>
      <xdr:rowOff>85725</xdr:rowOff>
    </xdr:to>
    <xdr:graphicFrame>
      <xdr:nvGraphicFramePr>
        <xdr:cNvPr id="3" name="Chart 42"/>
        <xdr:cNvGraphicFramePr/>
      </xdr:nvGraphicFramePr>
      <xdr:xfrm>
        <a:off x="1123950" y="14820900"/>
        <a:ext cx="65817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29</xdr:row>
      <xdr:rowOff>57150</xdr:rowOff>
    </xdr:from>
    <xdr:to>
      <xdr:col>8</xdr:col>
      <xdr:colOff>533400</xdr:colOff>
      <xdr:row>57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4791075"/>
          <a:ext cx="5905500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R407"/>
  <sheetViews>
    <sheetView showGridLines="0" tabSelected="1" view="pageBreakPreview" zoomScaleSheetLayoutView="100" workbookViewId="0" topLeftCell="A1">
      <selection activeCell="E18" sqref="E18"/>
    </sheetView>
  </sheetViews>
  <sheetFormatPr defaultColWidth="11.00390625" defaultRowHeight="12.75"/>
  <cols>
    <col min="1" max="1" width="29.125" style="5" customWidth="1"/>
    <col min="2" max="2" width="7.25390625" style="4" customWidth="1"/>
    <col min="3" max="3" width="20.625" style="5" customWidth="1"/>
    <col min="4" max="4" width="7.25390625" style="4" customWidth="1"/>
    <col min="5" max="8" width="7.25390625" style="5" customWidth="1"/>
    <col min="9" max="9" width="6.75390625" style="5" customWidth="1"/>
    <col min="10" max="10" width="6.75390625" style="3" customWidth="1"/>
    <col min="11" max="11" width="9.375" style="3" customWidth="1"/>
    <col min="12" max="12" width="4.00390625" style="3" customWidth="1"/>
    <col min="13" max="13" width="11.375" style="3" customWidth="1"/>
    <col min="14" max="14" width="3.875" style="3" customWidth="1"/>
    <col min="15" max="15" width="4.125" style="3" customWidth="1"/>
    <col min="16" max="18" width="7.125" style="3" customWidth="1"/>
    <col min="19" max="25" width="8.00390625" style="3" customWidth="1"/>
    <col min="26" max="26" width="6.375" style="3" customWidth="1"/>
    <col min="27" max="27" width="6.25390625" style="3" customWidth="1"/>
    <col min="28" max="28" width="7.00390625" style="3" customWidth="1"/>
    <col min="29" max="35" width="6.25390625" style="3" customWidth="1"/>
    <col min="36" max="43" width="11.375" style="4" customWidth="1"/>
    <col min="44" max="16384" width="11.375" style="3" customWidth="1"/>
  </cols>
  <sheetData>
    <row r="1" spans="2:9" ht="13.5" thickBot="1">
      <c r="B1" s="302" t="s">
        <v>245</v>
      </c>
      <c r="C1" s="302"/>
      <c r="D1" s="302"/>
      <c r="E1" s="302"/>
      <c r="F1" s="302"/>
      <c r="G1" s="302"/>
      <c r="H1" s="302"/>
      <c r="I1" s="302"/>
    </row>
    <row r="2" spans="1:35" ht="12.75">
      <c r="A2" s="2" t="s">
        <v>142</v>
      </c>
      <c r="C2" s="3"/>
      <c r="I2" s="40" t="s">
        <v>129</v>
      </c>
      <c r="K2" s="40" t="s">
        <v>130</v>
      </c>
      <c r="P2" s="151"/>
      <c r="Q2" s="152"/>
      <c r="R2" s="152"/>
      <c r="S2" s="152"/>
      <c r="T2" s="152"/>
      <c r="U2" s="152" t="s">
        <v>186</v>
      </c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3"/>
    </row>
    <row r="3" spans="1:35" ht="12.75">
      <c r="A3" s="5" t="s">
        <v>233</v>
      </c>
      <c r="I3" s="41"/>
      <c r="K3" s="40" t="s">
        <v>133</v>
      </c>
      <c r="P3" s="166" t="s">
        <v>179</v>
      </c>
      <c r="Q3" s="167"/>
      <c r="R3" s="167"/>
      <c r="S3" s="167"/>
      <c r="T3" s="116"/>
      <c r="U3" s="116" t="s">
        <v>187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54"/>
    </row>
    <row r="4" spans="1:35" ht="12.75">
      <c r="A4"/>
      <c r="B4"/>
      <c r="C4" s="2"/>
      <c r="D4"/>
      <c r="E4"/>
      <c r="F4"/>
      <c r="G4"/>
      <c r="I4" s="3"/>
      <c r="K4" s="40" t="s">
        <v>131</v>
      </c>
      <c r="P4" s="155"/>
      <c r="Q4" s="116"/>
      <c r="R4" s="116"/>
      <c r="S4" s="116"/>
      <c r="T4" s="116"/>
      <c r="U4" s="116" t="s">
        <v>188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54"/>
    </row>
    <row r="5" spans="1:35" ht="12.75">
      <c r="A5" s="26" t="s">
        <v>159</v>
      </c>
      <c r="B5"/>
      <c r="D5"/>
      <c r="E5"/>
      <c r="F5"/>
      <c r="G5"/>
      <c r="I5" s="3"/>
      <c r="K5" s="40" t="s">
        <v>132</v>
      </c>
      <c r="M5" s="105"/>
      <c r="P5" s="156" t="s">
        <v>175</v>
      </c>
      <c r="Q5" s="32"/>
      <c r="R5" s="32"/>
      <c r="S5" s="32"/>
      <c r="T5" s="32"/>
      <c r="U5" s="32"/>
      <c r="V5" s="32"/>
      <c r="W5" s="32"/>
      <c r="X5" s="32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54"/>
    </row>
    <row r="6" spans="1:35" ht="12.75">
      <c r="A6" s="2"/>
      <c r="B6" s="1"/>
      <c r="C6" s="1"/>
      <c r="D6" s="1"/>
      <c r="E6" s="287" t="s">
        <v>143</v>
      </c>
      <c r="F6" s="284"/>
      <c r="G6" s="285"/>
      <c r="H6" s="285"/>
      <c r="I6" s="286"/>
      <c r="J6" s="228"/>
      <c r="P6" s="156" t="s">
        <v>181</v>
      </c>
      <c r="Q6" s="32"/>
      <c r="R6" s="32"/>
      <c r="S6" s="32"/>
      <c r="T6" s="32"/>
      <c r="U6" s="32"/>
      <c r="V6" s="32"/>
      <c r="W6" s="32"/>
      <c r="X6" s="32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54"/>
    </row>
    <row r="7" spans="1:35" ht="12.75">
      <c r="A7" s="6"/>
      <c r="B7" s="7" t="s">
        <v>0</v>
      </c>
      <c r="C7" s="7" t="s">
        <v>1</v>
      </c>
      <c r="D7" s="7" t="s">
        <v>172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L7" s="105"/>
      <c r="N7" s="36"/>
      <c r="P7" s="156"/>
      <c r="Q7" s="32"/>
      <c r="R7" s="32"/>
      <c r="S7" s="32"/>
      <c r="T7" s="32"/>
      <c r="U7" s="32"/>
      <c r="V7" s="32"/>
      <c r="W7" s="32"/>
      <c r="X7" s="32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54"/>
    </row>
    <row r="8" spans="1:35" ht="14.25" thickBot="1">
      <c r="A8" s="8"/>
      <c r="B8" s="9" t="s">
        <v>4</v>
      </c>
      <c r="C8" s="108"/>
      <c r="D8" s="9"/>
      <c r="E8" s="10"/>
      <c r="F8" s="10"/>
      <c r="G8" s="10"/>
      <c r="H8" s="10"/>
      <c r="I8" s="10"/>
      <c r="J8" s="10"/>
      <c r="L8" s="35"/>
      <c r="P8" s="156"/>
      <c r="Q8" s="32"/>
      <c r="R8" s="32"/>
      <c r="S8" s="109">
        <v>1</v>
      </c>
      <c r="T8" s="109">
        <v>2</v>
      </c>
      <c r="U8" s="109">
        <v>3</v>
      </c>
      <c r="V8" s="109">
        <v>4</v>
      </c>
      <c r="W8" s="109">
        <v>5</v>
      </c>
      <c r="X8" s="109">
        <v>6</v>
      </c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54"/>
    </row>
    <row r="9" spans="1:35" ht="15" thickBot="1" thickTop="1">
      <c r="A9" s="78" t="s">
        <v>8</v>
      </c>
      <c r="B9" s="17" t="s">
        <v>34</v>
      </c>
      <c r="C9" s="17" t="s">
        <v>190</v>
      </c>
      <c r="D9" s="107" t="s">
        <v>93</v>
      </c>
      <c r="E9" s="187">
        <v>4.024</v>
      </c>
      <c r="F9" s="131"/>
      <c r="G9" s="249">
        <v>2.5837</v>
      </c>
      <c r="H9" s="131"/>
      <c r="I9" s="131"/>
      <c r="J9" s="132"/>
      <c r="K9" s="276" t="s">
        <v>236</v>
      </c>
      <c r="L9" s="272"/>
      <c r="M9" s="273"/>
      <c r="N9" s="272"/>
      <c r="P9" s="156"/>
      <c r="Q9" s="32"/>
      <c r="R9" s="32"/>
      <c r="S9" s="150"/>
      <c r="T9" s="150"/>
      <c r="U9" s="150"/>
      <c r="V9" s="150"/>
      <c r="W9" s="150"/>
      <c r="X9" s="150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54"/>
    </row>
    <row r="10" spans="1:35" ht="15" thickBot="1" thickTop="1">
      <c r="A10" s="112" t="s">
        <v>180</v>
      </c>
      <c r="B10" s="20" t="s">
        <v>35</v>
      </c>
      <c r="C10" s="20" t="s">
        <v>137</v>
      </c>
      <c r="D10" s="82" t="s">
        <v>93</v>
      </c>
      <c r="E10" s="188">
        <f>S11</f>
        <v>1.14050390625</v>
      </c>
      <c r="F10" s="134"/>
      <c r="G10" s="250">
        <v>0.4434</v>
      </c>
      <c r="H10" s="134"/>
      <c r="I10" s="134"/>
      <c r="J10" s="135"/>
      <c r="L10" s="189" t="s">
        <v>234</v>
      </c>
      <c r="M10" s="274">
        <v>26</v>
      </c>
      <c r="N10" s="271" t="s">
        <v>7</v>
      </c>
      <c r="O10" s="36"/>
      <c r="P10" s="157"/>
      <c r="Q10" s="128"/>
      <c r="R10" s="118" t="s">
        <v>8</v>
      </c>
      <c r="S10" s="187">
        <v>4.024</v>
      </c>
      <c r="T10" s="131"/>
      <c r="U10" s="249">
        <v>2.5837</v>
      </c>
      <c r="V10" s="131"/>
      <c r="W10" s="131"/>
      <c r="X10" s="132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54"/>
    </row>
    <row r="11" spans="1:35" ht="15" thickBot="1" thickTop="1">
      <c r="A11" s="79" t="s">
        <v>154</v>
      </c>
      <c r="B11" s="62" t="s">
        <v>152</v>
      </c>
      <c r="C11" s="62" t="s">
        <v>6</v>
      </c>
      <c r="D11" s="64" t="s">
        <v>7</v>
      </c>
      <c r="E11" s="136"/>
      <c r="F11" s="137">
        <v>0.15</v>
      </c>
      <c r="G11" s="137"/>
      <c r="H11" s="137"/>
      <c r="I11" s="137"/>
      <c r="J11" s="138"/>
      <c r="K11" s="106"/>
      <c r="L11" s="189" t="s">
        <v>235</v>
      </c>
      <c r="M11" s="275">
        <v>14</v>
      </c>
      <c r="N11" s="271" t="s">
        <v>7</v>
      </c>
      <c r="O11" s="36"/>
      <c r="P11" s="158"/>
      <c r="Q11" s="129"/>
      <c r="R11" s="119" t="s">
        <v>174</v>
      </c>
      <c r="S11" s="188">
        <f>AC54</f>
        <v>1.14050390625</v>
      </c>
      <c r="T11" s="134"/>
      <c r="U11" s="250">
        <v>1.1405</v>
      </c>
      <c r="V11" s="134"/>
      <c r="W11" s="134"/>
      <c r="X11" s="135"/>
      <c r="Y11" s="159">
        <f>ferr(S10:X13)</f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54"/>
    </row>
    <row r="12" spans="1:35" ht="15" thickBot="1" thickTop="1">
      <c r="A12" s="112" t="s">
        <v>189</v>
      </c>
      <c r="B12" s="63" t="s">
        <v>153</v>
      </c>
      <c r="C12" s="63" t="s">
        <v>6</v>
      </c>
      <c r="D12" s="65" t="s">
        <v>7</v>
      </c>
      <c r="E12" s="133"/>
      <c r="F12" s="134">
        <v>5.8</v>
      </c>
      <c r="G12" s="134"/>
      <c r="H12" s="134"/>
      <c r="I12" s="134"/>
      <c r="J12" s="135"/>
      <c r="L12" s="59"/>
      <c r="M12" s="59"/>
      <c r="P12" s="157"/>
      <c r="Q12" s="128"/>
      <c r="R12" s="120" t="s">
        <v>154</v>
      </c>
      <c r="S12" s="136"/>
      <c r="T12" s="137">
        <v>0.15</v>
      </c>
      <c r="U12" s="137"/>
      <c r="V12" s="137"/>
      <c r="W12" s="137"/>
      <c r="X12" s="138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54"/>
    </row>
    <row r="13" spans="1:35" ht="15" thickBot="1" thickTop="1">
      <c r="A13" s="80" t="s">
        <v>9</v>
      </c>
      <c r="B13" s="23" t="s">
        <v>43</v>
      </c>
      <c r="C13" s="17" t="s">
        <v>151</v>
      </c>
      <c r="D13" s="47" t="s">
        <v>10</v>
      </c>
      <c r="E13" s="130">
        <v>0</v>
      </c>
      <c r="F13" s="131">
        <v>165</v>
      </c>
      <c r="G13" s="131">
        <v>0</v>
      </c>
      <c r="H13" s="131"/>
      <c r="I13" s="131"/>
      <c r="J13" s="132"/>
      <c r="K13"/>
      <c r="L13" s="59"/>
      <c r="M13" s="59"/>
      <c r="P13" s="158"/>
      <c r="Q13" s="129"/>
      <c r="R13" s="119" t="s">
        <v>173</v>
      </c>
      <c r="S13" s="133"/>
      <c r="T13" s="134">
        <v>5.8</v>
      </c>
      <c r="U13" s="134"/>
      <c r="V13" s="134"/>
      <c r="W13" s="134"/>
      <c r="X13" s="135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54"/>
    </row>
    <row r="14" spans="1:35" ht="14.25" thickTop="1">
      <c r="A14" s="80" t="s">
        <v>12</v>
      </c>
      <c r="B14" s="18" t="s">
        <v>44</v>
      </c>
      <c r="C14" s="18" t="s">
        <v>144</v>
      </c>
      <c r="D14" s="21" t="s">
        <v>7</v>
      </c>
      <c r="E14" s="139">
        <v>4</v>
      </c>
      <c r="F14" s="140">
        <v>12</v>
      </c>
      <c r="G14" s="140">
        <v>21.6275</v>
      </c>
      <c r="H14" s="140"/>
      <c r="I14" s="140"/>
      <c r="J14" s="141"/>
      <c r="K14"/>
      <c r="L14" s="32"/>
      <c r="M14" s="32"/>
      <c r="P14" s="157"/>
      <c r="Q14" s="128"/>
      <c r="R14" s="118" t="s">
        <v>218</v>
      </c>
      <c r="S14" s="251">
        <f>AC55</f>
        <v>4.0645561698600346E-15</v>
      </c>
      <c r="T14" s="252">
        <v>165</v>
      </c>
      <c r="U14" s="252">
        <f>AC77</f>
        <v>0</v>
      </c>
      <c r="V14" s="131"/>
      <c r="W14" s="131"/>
      <c r="X14" s="132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54"/>
    </row>
    <row r="15" spans="1:37" ht="14.25" thickBot="1">
      <c r="A15" s="80"/>
      <c r="B15" s="20" t="s">
        <v>45</v>
      </c>
      <c r="C15" s="20" t="s">
        <v>144</v>
      </c>
      <c r="D15" s="49" t="s">
        <v>7</v>
      </c>
      <c r="E15" s="133">
        <v>10.925</v>
      </c>
      <c r="F15" s="134">
        <v>7</v>
      </c>
      <c r="G15" s="134">
        <v>8.5</v>
      </c>
      <c r="H15" s="134"/>
      <c r="I15" s="134"/>
      <c r="J15" s="135"/>
      <c r="K15"/>
      <c r="L15" s="32"/>
      <c r="M15" s="32"/>
      <c r="N15" s="36"/>
      <c r="O15" s="61"/>
      <c r="P15" s="156"/>
      <c r="Q15" s="32"/>
      <c r="R15" s="121" t="s">
        <v>12</v>
      </c>
      <c r="S15" s="139">
        <v>4</v>
      </c>
      <c r="T15" s="140">
        <v>12</v>
      </c>
      <c r="U15" s="248">
        <v>21.628</v>
      </c>
      <c r="V15" s="140"/>
      <c r="W15" s="140"/>
      <c r="X15" s="141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54"/>
      <c r="AK15" s="4" t="s">
        <v>226</v>
      </c>
    </row>
    <row r="16" spans="1:38" ht="15" thickBot="1" thickTop="1">
      <c r="A16" s="6" t="s">
        <v>168</v>
      </c>
      <c r="B16" s="86" t="s">
        <v>74</v>
      </c>
      <c r="C16" s="86" t="s">
        <v>6</v>
      </c>
      <c r="D16" s="86" t="s">
        <v>21</v>
      </c>
      <c r="E16" s="142">
        <v>0</v>
      </c>
      <c r="F16" s="255" t="s">
        <v>223</v>
      </c>
      <c r="K16"/>
      <c r="L16" s="32"/>
      <c r="M16" s="32"/>
      <c r="N16" s="36"/>
      <c r="O16" s="60"/>
      <c r="P16" s="158"/>
      <c r="Q16" s="129"/>
      <c r="R16" s="122"/>
      <c r="S16" s="133">
        <v>10.925</v>
      </c>
      <c r="T16" s="134">
        <v>7</v>
      </c>
      <c r="U16" s="134">
        <f>6.6+1.9</f>
        <v>8.5</v>
      </c>
      <c r="V16" s="134"/>
      <c r="W16" s="134"/>
      <c r="X16" s="135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54"/>
      <c r="AK16" s="260">
        <f>E14</f>
        <v>4</v>
      </c>
      <c r="AL16" s="262">
        <f>E15</f>
        <v>10.925</v>
      </c>
    </row>
    <row r="17" spans="1:38" ht="14.25" thickTop="1">
      <c r="A17" s="11" t="s">
        <v>244</v>
      </c>
      <c r="B17" s="21" t="s">
        <v>75</v>
      </c>
      <c r="C17" s="21" t="s">
        <v>6</v>
      </c>
      <c r="D17" s="21" t="s">
        <v>21</v>
      </c>
      <c r="E17" s="143">
        <v>6.049</v>
      </c>
      <c r="F17" s="255" t="s">
        <v>222</v>
      </c>
      <c r="G17" s="111" t="s">
        <v>171</v>
      </c>
      <c r="O17" s="36"/>
      <c r="P17" s="157"/>
      <c r="Q17" s="128"/>
      <c r="R17" s="123" t="s">
        <v>193</v>
      </c>
      <c r="S17" s="142">
        <v>0</v>
      </c>
      <c r="T17" s="32" t="s">
        <v>183</v>
      </c>
      <c r="U17" s="32"/>
      <c r="V17" s="32"/>
      <c r="W17" s="32"/>
      <c r="X17" s="32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54"/>
      <c r="AK17" s="263">
        <f>F14</f>
        <v>12</v>
      </c>
      <c r="AL17" s="12">
        <f>F15</f>
        <v>7</v>
      </c>
    </row>
    <row r="18" spans="1:38" ht="13.5">
      <c r="A18" s="11" t="s">
        <v>139</v>
      </c>
      <c r="B18" s="21" t="s">
        <v>76</v>
      </c>
      <c r="C18" s="21" t="s">
        <v>6</v>
      </c>
      <c r="D18" s="21" t="s">
        <v>7</v>
      </c>
      <c r="E18" s="143">
        <v>13</v>
      </c>
      <c r="F18"/>
      <c r="G18" s="109">
        <v>148</v>
      </c>
      <c r="H18" s="36" t="s">
        <v>169</v>
      </c>
      <c r="O18" s="36"/>
      <c r="P18" s="156"/>
      <c r="Q18" s="32"/>
      <c r="R18" s="121"/>
      <c r="S18" s="143">
        <v>32.3</v>
      </c>
      <c r="T18" s="32" t="s">
        <v>182</v>
      </c>
      <c r="U18" s="32"/>
      <c r="V18" s="32"/>
      <c r="W18" s="32"/>
      <c r="X18" s="32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54"/>
      <c r="AK18" s="263">
        <f>G14</f>
        <v>21.6275</v>
      </c>
      <c r="AL18" s="12">
        <f>G15</f>
        <v>8.5</v>
      </c>
    </row>
    <row r="19" spans="1:38" ht="14.25" thickBot="1">
      <c r="A19" s="8"/>
      <c r="B19" s="49" t="s">
        <v>77</v>
      </c>
      <c r="C19" s="49" t="s">
        <v>6</v>
      </c>
      <c r="D19" s="82" t="s">
        <v>7</v>
      </c>
      <c r="E19" s="144">
        <v>7</v>
      </c>
      <c r="F19"/>
      <c r="G19" s="110">
        <v>149</v>
      </c>
      <c r="H19" s="36" t="s">
        <v>170</v>
      </c>
      <c r="O19" s="36"/>
      <c r="P19" s="156"/>
      <c r="Q19" s="32"/>
      <c r="R19" s="121" t="s">
        <v>139</v>
      </c>
      <c r="S19" s="143">
        <v>13</v>
      </c>
      <c r="T19" s="32" t="s">
        <v>184</v>
      </c>
      <c r="U19" s="32"/>
      <c r="V19" s="32"/>
      <c r="W19" s="32"/>
      <c r="X19" s="32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54"/>
      <c r="AK19" s="263">
        <f>H14</f>
        <v>0</v>
      </c>
      <c r="AL19" s="12">
        <f>H15</f>
        <v>0</v>
      </c>
    </row>
    <row r="20" spans="1:38" ht="14.25" thickBot="1" thickTop="1">
      <c r="A20" s="32"/>
      <c r="B20" s="34"/>
      <c r="C20" s="34"/>
      <c r="D20" s="34"/>
      <c r="E20" s="113"/>
      <c r="F20"/>
      <c r="G20" s="145">
        <v>150</v>
      </c>
      <c r="H20" s="60" t="s">
        <v>191</v>
      </c>
      <c r="O20" s="36"/>
      <c r="P20" s="158"/>
      <c r="Q20" s="129"/>
      <c r="R20" s="122"/>
      <c r="S20" s="144">
        <v>0</v>
      </c>
      <c r="T20" s="32" t="s">
        <v>185</v>
      </c>
      <c r="U20" s="32"/>
      <c r="V20" s="32"/>
      <c r="W20" s="32"/>
      <c r="X20" s="32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54"/>
      <c r="AK20" s="265">
        <f>I14</f>
        <v>0</v>
      </c>
      <c r="AL20" s="13">
        <f>I15</f>
        <v>0</v>
      </c>
    </row>
    <row r="21" spans="1:35" ht="13.5" thickTop="1">
      <c r="A21" s="189" t="s">
        <v>220</v>
      </c>
      <c r="B21" s="253" t="s">
        <v>221</v>
      </c>
      <c r="C21" s="254"/>
      <c r="G21" s="83">
        <v>199</v>
      </c>
      <c r="H21" s="60" t="s">
        <v>192</v>
      </c>
      <c r="O21" s="36"/>
      <c r="P21" s="156"/>
      <c r="Q21" s="32"/>
      <c r="R21" s="32"/>
      <c r="S21" s="32"/>
      <c r="T21" s="32"/>
      <c r="U21" s="32"/>
      <c r="V21" s="32"/>
      <c r="W21" s="32"/>
      <c r="X21" s="32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54"/>
    </row>
    <row r="22" spans="15:42" ht="12.75">
      <c r="O22" s="36"/>
      <c r="P22" s="160" t="s">
        <v>176</v>
      </c>
      <c r="Q22" s="32"/>
      <c r="R22" s="32"/>
      <c r="S22" s="32"/>
      <c r="T22" s="32"/>
      <c r="U22" s="32"/>
      <c r="V22" s="32"/>
      <c r="W22" s="32"/>
      <c r="X22" s="32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54"/>
      <c r="AK22" s="266">
        <f aca="true" t="shared" si="0" ref="AK22:AP22">IF(SUM(E9:E15)=0,0,1)</f>
        <v>1</v>
      </c>
      <c r="AL22" s="267">
        <f t="shared" si="0"/>
        <v>1</v>
      </c>
      <c r="AM22" s="267">
        <f t="shared" si="0"/>
        <v>1</v>
      </c>
      <c r="AN22" s="267">
        <f t="shared" si="0"/>
        <v>0</v>
      </c>
      <c r="AO22" s="267">
        <f t="shared" si="0"/>
        <v>0</v>
      </c>
      <c r="AP22" s="268">
        <f t="shared" si="0"/>
        <v>0</v>
      </c>
    </row>
    <row r="23" spans="1:44" ht="13.5">
      <c r="A23" s="6"/>
      <c r="B23" s="7" t="s">
        <v>0</v>
      </c>
      <c r="C23" s="7" t="s">
        <v>1</v>
      </c>
      <c r="D23" s="7" t="s">
        <v>2</v>
      </c>
      <c r="E23" s="7">
        <v>1</v>
      </c>
      <c r="F23" s="7">
        <v>2</v>
      </c>
      <c r="G23" s="7">
        <v>3</v>
      </c>
      <c r="H23" s="7">
        <v>4</v>
      </c>
      <c r="I23" s="7">
        <v>5</v>
      </c>
      <c r="J23" s="7">
        <v>6</v>
      </c>
      <c r="K23" s="7" t="s">
        <v>3</v>
      </c>
      <c r="O23" s="36"/>
      <c r="P23" s="161"/>
      <c r="Q23" s="114"/>
      <c r="R23" s="117" t="s">
        <v>33</v>
      </c>
      <c r="S23" s="17" t="s">
        <v>117</v>
      </c>
      <c r="T23" s="17" t="s">
        <v>21</v>
      </c>
      <c r="U23" s="90">
        <v>1.1738497703668862</v>
      </c>
      <c r="V23" s="90">
        <v>-0.004281676906094263</v>
      </c>
      <c r="W23" s="90">
        <v>0.7773086213048234</v>
      </c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54"/>
      <c r="AK23" s="190">
        <f>SUM(AK22:AP22)</f>
        <v>3</v>
      </c>
      <c r="AR23" s="4"/>
    </row>
    <row r="24" spans="1:44" ht="13.5">
      <c r="A24" s="8"/>
      <c r="B24" s="9" t="s">
        <v>4</v>
      </c>
      <c r="C24" s="9"/>
      <c r="D24" s="9" t="s">
        <v>5</v>
      </c>
      <c r="E24" s="83"/>
      <c r="F24" s="9"/>
      <c r="G24" s="9"/>
      <c r="H24" s="9"/>
      <c r="I24" s="9"/>
      <c r="J24" s="9"/>
      <c r="K24" s="9"/>
      <c r="M24" s="32"/>
      <c r="O24" s="36"/>
      <c r="P24" s="162"/>
      <c r="Q24" s="115"/>
      <c r="R24" s="127" t="s">
        <v>135</v>
      </c>
      <c r="S24" s="96" t="s">
        <v>120</v>
      </c>
      <c r="T24" s="96" t="s">
        <v>21</v>
      </c>
      <c r="U24" s="98">
        <v>11.590307590699023</v>
      </c>
      <c r="V24" s="98">
        <v>-7.554676562540516</v>
      </c>
      <c r="W24" s="98">
        <v>13.411327028754094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54"/>
      <c r="AR24" s="4"/>
    </row>
    <row r="25" spans="1:44" ht="13.5">
      <c r="A25" s="80" t="s">
        <v>8</v>
      </c>
      <c r="B25" s="29" t="s">
        <v>34</v>
      </c>
      <c r="C25" s="42"/>
      <c r="D25" s="34" t="s">
        <v>93</v>
      </c>
      <c r="E25" s="84">
        <f aca="true" t="shared" si="1" ref="E25:J25">IF(E9&gt;0,E9,E11*E12^3/12)</f>
        <v>4.024</v>
      </c>
      <c r="F25" s="84">
        <f t="shared" si="1"/>
        <v>2.4389</v>
      </c>
      <c r="G25" s="84">
        <f t="shared" si="1"/>
        <v>2.5837</v>
      </c>
      <c r="H25" s="84">
        <f t="shared" si="1"/>
        <v>0</v>
      </c>
      <c r="I25" s="84">
        <f t="shared" si="1"/>
        <v>0</v>
      </c>
      <c r="J25" s="85">
        <f t="shared" si="1"/>
        <v>0</v>
      </c>
      <c r="K25" s="77">
        <f>SUM(E25:J25)</f>
        <v>9.0466</v>
      </c>
      <c r="L25" s="32"/>
      <c r="M25" s="32"/>
      <c r="N25" s="36"/>
      <c r="O25" s="36"/>
      <c r="P25" s="155"/>
      <c r="Q25" s="116"/>
      <c r="R25" s="126" t="s">
        <v>136</v>
      </c>
      <c r="S25" s="17" t="s">
        <v>121</v>
      </c>
      <c r="T25" s="17" t="s">
        <v>21</v>
      </c>
      <c r="U25" s="148">
        <v>1.1738497703668862</v>
      </c>
      <c r="V25" s="148">
        <v>-1.9511583916717106</v>
      </c>
      <c r="W25" s="148">
        <v>0.7773086213048234</v>
      </c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54"/>
      <c r="AL25" s="260"/>
      <c r="AM25" s="261" t="s">
        <v>231</v>
      </c>
      <c r="AN25" s="261" t="s">
        <v>232</v>
      </c>
      <c r="AO25" s="261" t="s">
        <v>224</v>
      </c>
      <c r="AP25" s="261" t="s">
        <v>225</v>
      </c>
      <c r="AQ25" s="261" t="s">
        <v>228</v>
      </c>
      <c r="AR25" s="262" t="s">
        <v>242</v>
      </c>
    </row>
    <row r="26" spans="1:44" ht="13.5">
      <c r="A26" s="80"/>
      <c r="B26" s="18" t="s">
        <v>35</v>
      </c>
      <c r="C26" s="42"/>
      <c r="D26" s="18" t="s">
        <v>93</v>
      </c>
      <c r="E26" s="66">
        <f aca="true" t="shared" si="2" ref="E26:J26">IF(E10&gt;0,E10,E11^3*E12/12)</f>
        <v>1.14050390625</v>
      </c>
      <c r="F26" s="66">
        <f t="shared" si="2"/>
        <v>0.0016312499999999999</v>
      </c>
      <c r="G26" s="66">
        <f t="shared" si="2"/>
        <v>0.4434</v>
      </c>
      <c r="H26" s="66">
        <f t="shared" si="2"/>
        <v>0</v>
      </c>
      <c r="I26" s="66">
        <f t="shared" si="2"/>
        <v>0</v>
      </c>
      <c r="J26" s="73">
        <f t="shared" si="2"/>
        <v>0</v>
      </c>
      <c r="K26" s="77">
        <f>SUM(E26:J26)</f>
        <v>1.58553515625</v>
      </c>
      <c r="L26" s="32"/>
      <c r="M26" s="32"/>
      <c r="N26" s="36"/>
      <c r="O26" s="36"/>
      <c r="P26" s="162"/>
      <c r="Q26" s="115"/>
      <c r="R26" s="13" t="s">
        <v>137</v>
      </c>
      <c r="S26" s="20" t="s">
        <v>122</v>
      </c>
      <c r="T26" s="20" t="s">
        <v>21</v>
      </c>
      <c r="U26" s="149">
        <v>11.590307590699023</v>
      </c>
      <c r="V26" s="149">
        <v>7.298365380546878</v>
      </c>
      <c r="W26" s="149">
        <v>13.411327028754094</v>
      </c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54"/>
      <c r="AK26" s="189">
        <v>1</v>
      </c>
      <c r="AL26" s="263">
        <f>AK16</f>
        <v>4</v>
      </c>
      <c r="AM26" s="34">
        <f>AL16</f>
        <v>10.925</v>
      </c>
      <c r="AN26" s="34"/>
      <c r="AO26" s="34"/>
      <c r="AP26" s="34"/>
      <c r="AQ26" s="34"/>
      <c r="AR26" s="12"/>
    </row>
    <row r="27" spans="1:44" ht="13.5">
      <c r="A27" s="80"/>
      <c r="B27" s="19" t="s">
        <v>43</v>
      </c>
      <c r="C27" s="16"/>
      <c r="D27" s="18" t="s">
        <v>11</v>
      </c>
      <c r="E27" s="66">
        <f aca="true" t="shared" si="3" ref="E27:J27">E13*PI()/180</f>
        <v>0</v>
      </c>
      <c r="F27" s="66">
        <f t="shared" si="3"/>
        <v>2.8797932657906435</v>
      </c>
      <c r="G27" s="66">
        <f t="shared" si="3"/>
        <v>0</v>
      </c>
      <c r="H27" s="66">
        <f t="shared" si="3"/>
        <v>0</v>
      </c>
      <c r="I27" s="66">
        <f t="shared" si="3"/>
        <v>0</v>
      </c>
      <c r="J27" s="73">
        <f t="shared" si="3"/>
        <v>0</v>
      </c>
      <c r="K27" s="71"/>
      <c r="L27" s="32"/>
      <c r="M27" s="36"/>
      <c r="N27" s="36"/>
      <c r="O27" s="36"/>
      <c r="P27" s="155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54"/>
      <c r="AK27" s="189">
        <v>2</v>
      </c>
      <c r="AL27" s="263">
        <f aca="true" t="shared" si="4" ref="AL27:AM30">IF($AK27&gt;$AK$23,AL26,AK17)</f>
        <v>12</v>
      </c>
      <c r="AM27" s="34">
        <f t="shared" si="4"/>
        <v>7</v>
      </c>
      <c r="AN27" s="34"/>
      <c r="AO27" s="34"/>
      <c r="AP27" s="34"/>
      <c r="AQ27" s="34"/>
      <c r="AR27" s="12"/>
    </row>
    <row r="28" spans="1:44" ht="13.5">
      <c r="A28" s="80" t="s">
        <v>52</v>
      </c>
      <c r="B28" s="18" t="s">
        <v>36</v>
      </c>
      <c r="C28" s="16"/>
      <c r="D28" s="18" t="s">
        <v>93</v>
      </c>
      <c r="E28" s="66">
        <f aca="true" t="shared" si="5" ref="E28:J28">E25*COS(E27)^2+E26*SIN(E27)^2</f>
        <v>4.024</v>
      </c>
      <c r="F28" s="66">
        <f t="shared" si="5"/>
        <v>2.2756339516749713</v>
      </c>
      <c r="G28" s="66">
        <f t="shared" si="5"/>
        <v>2.5837</v>
      </c>
      <c r="H28" s="66">
        <f t="shared" si="5"/>
        <v>0</v>
      </c>
      <c r="I28" s="66">
        <f t="shared" si="5"/>
        <v>0</v>
      </c>
      <c r="J28" s="73">
        <f t="shared" si="5"/>
        <v>0</v>
      </c>
      <c r="K28" s="71">
        <f>SUM(E28:J28)</f>
        <v>8.883333951674972</v>
      </c>
      <c r="L28" s="58" t="s">
        <v>40</v>
      </c>
      <c r="M28" s="36"/>
      <c r="O28" s="36"/>
      <c r="P28" s="160" t="s">
        <v>177</v>
      </c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54"/>
      <c r="AK28" s="189">
        <v>3</v>
      </c>
      <c r="AL28" s="263">
        <f t="shared" si="4"/>
        <v>21.6275</v>
      </c>
      <c r="AM28" s="34">
        <f t="shared" si="4"/>
        <v>8.5</v>
      </c>
      <c r="AN28" s="34"/>
      <c r="AO28" s="34"/>
      <c r="AP28" s="34"/>
      <c r="AQ28" s="34"/>
      <c r="AR28" s="12"/>
    </row>
    <row r="29" spans="1:44" ht="13.5">
      <c r="A29" s="80"/>
      <c r="B29" s="18" t="s">
        <v>37</v>
      </c>
      <c r="C29" s="16"/>
      <c r="D29" s="18" t="s">
        <v>93</v>
      </c>
      <c r="E29" s="66">
        <f aca="true" t="shared" si="6" ref="E29:J29">E25*SIN(E27)^2+E26*COS(E27)^2</f>
        <v>1.14050390625</v>
      </c>
      <c r="F29" s="66">
        <f t="shared" si="6"/>
        <v>0.16489729832502828</v>
      </c>
      <c r="G29" s="66">
        <f t="shared" si="6"/>
        <v>0.4434</v>
      </c>
      <c r="H29" s="66">
        <f t="shared" si="6"/>
        <v>0</v>
      </c>
      <c r="I29" s="66">
        <f t="shared" si="6"/>
        <v>0</v>
      </c>
      <c r="J29" s="73">
        <f t="shared" si="6"/>
        <v>0</v>
      </c>
      <c r="K29" s="71">
        <f>SUM(E29:J29)</f>
        <v>1.7488012045750283</v>
      </c>
      <c r="L29" s="58" t="s">
        <v>41</v>
      </c>
      <c r="M29" s="36"/>
      <c r="P29" s="155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54"/>
      <c r="AK29" s="189">
        <v>4</v>
      </c>
      <c r="AL29" s="263">
        <f t="shared" si="4"/>
        <v>21.6275</v>
      </c>
      <c r="AM29" s="34">
        <f t="shared" si="4"/>
        <v>8.5</v>
      </c>
      <c r="AN29" s="34"/>
      <c r="AO29" s="34"/>
      <c r="AP29" s="34"/>
      <c r="AQ29" s="34"/>
      <c r="AR29" s="12"/>
    </row>
    <row r="30" spans="1:44" ht="14.25">
      <c r="A30" s="11"/>
      <c r="B30" s="18" t="s">
        <v>38</v>
      </c>
      <c r="C30" s="16"/>
      <c r="D30" s="18" t="s">
        <v>93</v>
      </c>
      <c r="E30" s="66">
        <f aca="true" t="shared" si="7" ref="E30:J30">(E25-E26)*COS(E27)*SIN(E27)</f>
        <v>0</v>
      </c>
      <c r="F30" s="66">
        <f t="shared" si="7"/>
        <v>-0.6093171875000005</v>
      </c>
      <c r="G30" s="66">
        <f t="shared" si="7"/>
        <v>0</v>
      </c>
      <c r="H30" s="66">
        <f t="shared" si="7"/>
        <v>0</v>
      </c>
      <c r="I30" s="66">
        <f t="shared" si="7"/>
        <v>0</v>
      </c>
      <c r="J30" s="73">
        <f t="shared" si="7"/>
        <v>0</v>
      </c>
      <c r="K30" s="71">
        <f>SUM(E30:J30)</f>
        <v>-0.6093171875000005</v>
      </c>
      <c r="L30" s="58" t="s">
        <v>42</v>
      </c>
      <c r="M30" s="36"/>
      <c r="P30" s="155" t="s">
        <v>194</v>
      </c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54"/>
      <c r="AK30" s="189">
        <v>5</v>
      </c>
      <c r="AL30" s="263">
        <f t="shared" si="4"/>
        <v>21.6275</v>
      </c>
      <c r="AM30" s="34">
        <f t="shared" si="4"/>
        <v>8.5</v>
      </c>
      <c r="AN30" s="34"/>
      <c r="AO30" s="34"/>
      <c r="AP30" s="34"/>
      <c r="AQ30" s="34"/>
      <c r="AR30" s="12"/>
    </row>
    <row r="31" spans="1:44" ht="13.5">
      <c r="A31" s="11"/>
      <c r="B31" s="12"/>
      <c r="C31" s="124" t="s">
        <v>46</v>
      </c>
      <c r="D31" s="30" t="s">
        <v>138</v>
      </c>
      <c r="E31" s="68">
        <f aca="true" t="shared" si="8" ref="E31:J32">IF(E14="",0,E28*E14)</f>
        <v>16.096</v>
      </c>
      <c r="F31" s="68">
        <f t="shared" si="8"/>
        <v>27.307607420099657</v>
      </c>
      <c r="G31" s="68">
        <f t="shared" si="8"/>
        <v>55.87897175</v>
      </c>
      <c r="H31" s="68">
        <f t="shared" si="8"/>
        <v>0</v>
      </c>
      <c r="I31" s="68">
        <f t="shared" si="8"/>
        <v>0</v>
      </c>
      <c r="J31" s="74">
        <f t="shared" si="8"/>
        <v>0</v>
      </c>
      <c r="K31" s="71">
        <f aca="true" t="shared" si="9" ref="K31:K36">SUM(E31:J31)</f>
        <v>99.28257917009967</v>
      </c>
      <c r="L31" s="36"/>
      <c r="M31" s="36"/>
      <c r="P31" s="155"/>
      <c r="Q31" s="116" t="str">
        <f>"= "&amp;6&amp;"x"&amp;ROUND(ABS(V24),3)&amp;"/("&amp;T12&amp;"x"&amp;T13&amp;"^3) = "&amp;ROUND(6*ABS(V24)/T12/T13^3,2)&amp;" MPa"</f>
        <v>= 6x7,555/(0,15x5,8^3) = 1,55 MPa</v>
      </c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54"/>
      <c r="AK31" s="189">
        <v>6</v>
      </c>
      <c r="AL31" s="263">
        <f>IF($AK31&gt;$AK$23,AL30,#REF!)</f>
        <v>21.6275</v>
      </c>
      <c r="AM31" s="34">
        <f>IF($AK31&gt;$AK$23,AM30,AL15)</f>
        <v>8.5</v>
      </c>
      <c r="AN31" s="34"/>
      <c r="AO31" s="34"/>
      <c r="AP31" s="34"/>
      <c r="AQ31" s="34"/>
      <c r="AR31" s="12"/>
    </row>
    <row r="32" spans="1:44" ht="13.5">
      <c r="A32" s="11"/>
      <c r="B32" s="12"/>
      <c r="C32" s="124" t="s">
        <v>47</v>
      </c>
      <c r="D32" s="31" t="s">
        <v>138</v>
      </c>
      <c r="E32" s="70">
        <f t="shared" si="8"/>
        <v>12.46000517578125</v>
      </c>
      <c r="F32" s="70">
        <f t="shared" si="8"/>
        <v>1.154281088275198</v>
      </c>
      <c r="G32" s="70">
        <f t="shared" si="8"/>
        <v>3.7689000000000004</v>
      </c>
      <c r="H32" s="70">
        <f t="shared" si="8"/>
        <v>0</v>
      </c>
      <c r="I32" s="70">
        <f t="shared" si="8"/>
        <v>0</v>
      </c>
      <c r="J32" s="75">
        <f t="shared" si="8"/>
        <v>0</v>
      </c>
      <c r="K32" s="71">
        <f t="shared" si="9"/>
        <v>17.383186264056448</v>
      </c>
      <c r="L32" s="36"/>
      <c r="M32" s="37"/>
      <c r="P32" s="155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54"/>
      <c r="AL32" s="263"/>
      <c r="AM32" s="34"/>
      <c r="AN32" s="34"/>
      <c r="AO32" s="34"/>
      <c r="AP32" s="34"/>
      <c r="AQ32" s="34"/>
      <c r="AR32" s="12"/>
    </row>
    <row r="33" spans="1:44" ht="14.25" thickBot="1">
      <c r="A33" s="11"/>
      <c r="B33" s="12"/>
      <c r="C33" s="124" t="s">
        <v>48</v>
      </c>
      <c r="D33" s="31" t="s">
        <v>138</v>
      </c>
      <c r="E33" s="66">
        <f aca="true" t="shared" si="10" ref="E33:J33">IF(E14="",0,E30*E14)</f>
        <v>0</v>
      </c>
      <c r="F33" s="66">
        <f t="shared" si="10"/>
        <v>-7.311806250000006</v>
      </c>
      <c r="G33" s="66">
        <f t="shared" si="10"/>
        <v>0</v>
      </c>
      <c r="H33" s="66">
        <f t="shared" si="10"/>
        <v>0</v>
      </c>
      <c r="I33" s="66">
        <f t="shared" si="10"/>
        <v>0</v>
      </c>
      <c r="J33" s="73">
        <f t="shared" si="10"/>
        <v>0</v>
      </c>
      <c r="K33" s="71">
        <f t="shared" si="9"/>
        <v>-7.311806250000006</v>
      </c>
      <c r="L33" s="37"/>
      <c r="M33" s="36"/>
      <c r="P33" s="163" t="s">
        <v>178</v>
      </c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5"/>
      <c r="AL33" s="264">
        <f>H48</f>
        <v>10.94950767883944</v>
      </c>
      <c r="AM33" s="259"/>
      <c r="AN33" s="259">
        <f>H49</f>
        <v>10.306070949359928</v>
      </c>
      <c r="AO33" s="34"/>
      <c r="AP33" s="34"/>
      <c r="AQ33" s="34"/>
      <c r="AR33" s="12"/>
    </row>
    <row r="34" spans="1:44" ht="13.5">
      <c r="A34" s="11"/>
      <c r="B34" s="12"/>
      <c r="C34" s="124" t="s">
        <v>49</v>
      </c>
      <c r="D34" s="31" t="s">
        <v>138</v>
      </c>
      <c r="E34" s="66">
        <f aca="true" t="shared" si="11" ref="E34:J34">IF(E15="",0,E30*E15)</f>
        <v>0</v>
      </c>
      <c r="F34" s="66">
        <f t="shared" si="11"/>
        <v>-4.265220312500004</v>
      </c>
      <c r="G34" s="66">
        <f t="shared" si="11"/>
        <v>0</v>
      </c>
      <c r="H34" s="66">
        <f t="shared" si="11"/>
        <v>0</v>
      </c>
      <c r="I34" s="66">
        <f t="shared" si="11"/>
        <v>0</v>
      </c>
      <c r="J34" s="73">
        <f t="shared" si="11"/>
        <v>0</v>
      </c>
      <c r="K34" s="71">
        <f t="shared" si="9"/>
        <v>-4.265220312500004</v>
      </c>
      <c r="L34" s="36"/>
      <c r="M34" s="36"/>
      <c r="AL34" s="263"/>
      <c r="AM34" s="34"/>
      <c r="AN34" s="34"/>
      <c r="AO34" s="34"/>
      <c r="AP34" s="34"/>
      <c r="AQ34" s="34"/>
      <c r="AR34" s="12"/>
    </row>
    <row r="35" spans="1:44" ht="13.5">
      <c r="A35" s="11"/>
      <c r="B35" s="18"/>
      <c r="C35" s="124" t="s">
        <v>50</v>
      </c>
      <c r="D35" s="31" t="s">
        <v>93</v>
      </c>
      <c r="E35" s="66">
        <f aca="true" t="shared" si="12" ref="E35:J35">(E25-E26)*SIN(2*E27)</f>
        <v>0</v>
      </c>
      <c r="F35" s="66">
        <f t="shared" si="12"/>
        <v>-1.218634375000001</v>
      </c>
      <c r="G35" s="66">
        <f t="shared" si="12"/>
        <v>0</v>
      </c>
      <c r="H35" s="66">
        <f t="shared" si="12"/>
        <v>0</v>
      </c>
      <c r="I35" s="66">
        <f t="shared" si="12"/>
        <v>0</v>
      </c>
      <c r="J35" s="73">
        <f t="shared" si="12"/>
        <v>0</v>
      </c>
      <c r="K35" s="71">
        <f t="shared" si="9"/>
        <v>-1.218634375000001</v>
      </c>
      <c r="L35" s="36"/>
      <c r="M35" s="36"/>
      <c r="AL35" s="263">
        <f>E18</f>
        <v>13</v>
      </c>
      <c r="AM35" s="34"/>
      <c r="AN35" s="34"/>
      <c r="AO35" s="259">
        <f>-AN33/5</f>
        <v>-2.0612141898719853</v>
      </c>
      <c r="AP35" s="34"/>
      <c r="AQ35" s="34"/>
      <c r="AR35" s="12"/>
    </row>
    <row r="36" spans="1:44" ht="13.5">
      <c r="A36" s="8"/>
      <c r="B36" s="13"/>
      <c r="C36" s="125" t="s">
        <v>51</v>
      </c>
      <c r="D36" s="20" t="s">
        <v>93</v>
      </c>
      <c r="E36" s="67">
        <f aca="true" t="shared" si="13" ref="E36:J36">(E25-E26)*COS(2*E27)</f>
        <v>2.88349609375</v>
      </c>
      <c r="F36" s="67">
        <f t="shared" si="13"/>
        <v>2.110736653349943</v>
      </c>
      <c r="G36" s="67">
        <f t="shared" si="13"/>
        <v>2.1403</v>
      </c>
      <c r="H36" s="67">
        <f t="shared" si="13"/>
        <v>0</v>
      </c>
      <c r="I36" s="67">
        <f t="shared" si="13"/>
        <v>0</v>
      </c>
      <c r="J36" s="76">
        <f t="shared" si="13"/>
        <v>0</v>
      </c>
      <c r="K36" s="72">
        <f t="shared" si="9"/>
        <v>7.134532747099943</v>
      </c>
      <c r="L36" s="36"/>
      <c r="S36" s="243" t="s">
        <v>207</v>
      </c>
      <c r="T36" s="198"/>
      <c r="U36" s="199"/>
      <c r="V36" s="199"/>
      <c r="W36" s="199"/>
      <c r="X36" s="198"/>
      <c r="Y36" s="198"/>
      <c r="Z36" s="198"/>
      <c r="AA36" s="198"/>
      <c r="AB36" s="198"/>
      <c r="AC36" s="198"/>
      <c r="AD36" s="198"/>
      <c r="AE36" s="222"/>
      <c r="AF36"/>
      <c r="AI36"/>
      <c r="AL36" s="263">
        <f>AL35</f>
        <v>13</v>
      </c>
      <c r="AM36" s="34"/>
      <c r="AN36" s="34"/>
      <c r="AO36" s="34">
        <v>0</v>
      </c>
      <c r="AP36" s="34"/>
      <c r="AQ36" s="34"/>
      <c r="AR36" s="12"/>
    </row>
    <row r="37" spans="19:44" ht="12.75">
      <c r="S37" s="244" t="s">
        <v>195</v>
      </c>
      <c r="T37" s="170" t="s">
        <v>196</v>
      </c>
      <c r="U37" s="227"/>
      <c r="V37" s="227"/>
      <c r="W37" s="228"/>
      <c r="X37" s="184"/>
      <c r="Y37" s="116"/>
      <c r="Z37" s="116"/>
      <c r="AA37" s="116"/>
      <c r="AB37" s="116"/>
      <c r="AC37" s="116"/>
      <c r="AD37" s="116"/>
      <c r="AE37" s="210"/>
      <c r="AF37"/>
      <c r="AI37"/>
      <c r="AL37" s="263"/>
      <c r="AM37" s="34"/>
      <c r="AN37" s="34"/>
      <c r="AO37" s="34"/>
      <c r="AP37" s="34"/>
      <c r="AQ37" s="34"/>
      <c r="AR37" s="12"/>
    </row>
    <row r="38" spans="1:44" ht="14.25" thickBot="1">
      <c r="A38" s="78" t="s">
        <v>13</v>
      </c>
      <c r="B38" s="47" t="s">
        <v>56</v>
      </c>
      <c r="C38" s="43" t="s">
        <v>53</v>
      </c>
      <c r="D38" s="50"/>
      <c r="E38" s="51"/>
      <c r="F38" s="52"/>
      <c r="G38" s="17" t="s">
        <v>93</v>
      </c>
      <c r="H38" s="81">
        <f>K29</f>
        <v>1.7488012045750283</v>
      </c>
      <c r="I38" s="14"/>
      <c r="J38" s="14"/>
      <c r="S38" s="245" t="s">
        <v>197</v>
      </c>
      <c r="T38" s="230" t="s">
        <v>198</v>
      </c>
      <c r="U38" s="231" t="s">
        <v>198</v>
      </c>
      <c r="V38" s="231" t="s">
        <v>198</v>
      </c>
      <c r="W38" s="231" t="s">
        <v>198</v>
      </c>
      <c r="X38" s="184"/>
      <c r="Y38" s="116"/>
      <c r="Z38" s="184"/>
      <c r="AA38" s="116"/>
      <c r="AB38" s="109">
        <v>1</v>
      </c>
      <c r="AC38" s="7">
        <f>IF(AB38="","",IF(AC41=0,"",AB38+1))</f>
        <v>2</v>
      </c>
      <c r="AD38" s="7">
        <f>IF(AC38="","",IF(AD41=0,"",AC38+1))</f>
        <v>3</v>
      </c>
      <c r="AE38" s="210"/>
      <c r="AF38"/>
      <c r="AI38"/>
      <c r="AL38" s="263">
        <v>0</v>
      </c>
      <c r="AM38" s="34"/>
      <c r="AN38" s="34"/>
      <c r="AO38" s="34"/>
      <c r="AP38" s="34">
        <f>E19</f>
        <v>7</v>
      </c>
      <c r="AQ38" s="34"/>
      <c r="AR38" s="12"/>
    </row>
    <row r="39" spans="1:44" ht="16.5" thickBot="1" thickTop="1">
      <c r="A39" s="80"/>
      <c r="B39" s="21" t="s">
        <v>57</v>
      </c>
      <c r="C39" s="44" t="s">
        <v>54</v>
      </c>
      <c r="D39" s="31"/>
      <c r="E39" s="45"/>
      <c r="F39" s="22"/>
      <c r="G39" s="18" t="s">
        <v>93</v>
      </c>
      <c r="H39" s="71">
        <f>K30</f>
        <v>-0.6093171875000005</v>
      </c>
      <c r="I39" s="103" t="s">
        <v>155</v>
      </c>
      <c r="J39" s="102" t="s">
        <v>157</v>
      </c>
      <c r="K39" s="102"/>
      <c r="S39" s="246">
        <v>1</v>
      </c>
      <c r="T39" s="233"/>
      <c r="U39" s="234"/>
      <c r="V39" s="234"/>
      <c r="W39" s="235"/>
      <c r="X39" s="184"/>
      <c r="Y39" s="116"/>
      <c r="Z39" s="184"/>
      <c r="AA39" s="116"/>
      <c r="AB39" s="110"/>
      <c r="AC39" s="10"/>
      <c r="AD39" s="10"/>
      <c r="AE39" s="210"/>
      <c r="AF39"/>
      <c r="AI39"/>
      <c r="AL39" s="264">
        <f>-AL33/5</f>
        <v>-2.189901535767888</v>
      </c>
      <c r="AM39" s="34"/>
      <c r="AN39" s="34"/>
      <c r="AO39" s="34"/>
      <c r="AP39" s="34">
        <f>AP38</f>
        <v>7</v>
      </c>
      <c r="AQ39" s="34"/>
      <c r="AR39" s="12"/>
    </row>
    <row r="40" spans="1:44" ht="14.25" thickTop="1">
      <c r="A40" s="80" t="s">
        <v>14</v>
      </c>
      <c r="B40" s="21" t="s">
        <v>58</v>
      </c>
      <c r="C40" s="44" t="s">
        <v>54</v>
      </c>
      <c r="D40" s="31"/>
      <c r="E40" s="45"/>
      <c r="F40" s="22"/>
      <c r="G40" s="18" t="s">
        <v>93</v>
      </c>
      <c r="H40" s="71">
        <f>K30</f>
        <v>-0.6093171875000005</v>
      </c>
      <c r="J40" s="102" t="s">
        <v>158</v>
      </c>
      <c r="S40" s="246">
        <v>2</v>
      </c>
      <c r="T40" s="236"/>
      <c r="U40" s="237"/>
      <c r="V40" s="237"/>
      <c r="W40" s="238"/>
      <c r="X40" s="184"/>
      <c r="Y40" s="116"/>
      <c r="Z40" s="183" t="s">
        <v>199</v>
      </c>
      <c r="AA40" s="78" t="s">
        <v>152</v>
      </c>
      <c r="AB40" s="171">
        <v>0.15</v>
      </c>
      <c r="AC40" s="172">
        <v>0.15</v>
      </c>
      <c r="AD40" s="180">
        <v>0.15</v>
      </c>
      <c r="AE40" s="210"/>
      <c r="AF40"/>
      <c r="AI40"/>
      <c r="AL40" s="263"/>
      <c r="AM40" s="34"/>
      <c r="AN40" s="34"/>
      <c r="AO40" s="34"/>
      <c r="AP40" s="34"/>
      <c r="AQ40" s="34"/>
      <c r="AR40" s="12"/>
    </row>
    <row r="41" spans="1:44" ht="15">
      <c r="A41" s="80"/>
      <c r="B41" s="21" t="s">
        <v>59</v>
      </c>
      <c r="C41" s="44" t="s">
        <v>55</v>
      </c>
      <c r="D41" s="31"/>
      <c r="E41" s="45"/>
      <c r="F41" s="22"/>
      <c r="G41" s="18" t="s">
        <v>93</v>
      </c>
      <c r="H41" s="71">
        <f>K28</f>
        <v>8.883333951674972</v>
      </c>
      <c r="I41" s="103" t="s">
        <v>156</v>
      </c>
      <c r="J41" s="102" t="s">
        <v>125</v>
      </c>
      <c r="K41" s="102"/>
      <c r="P41"/>
      <c r="Q41"/>
      <c r="R41"/>
      <c r="S41" s="246">
        <v>3</v>
      </c>
      <c r="T41" s="236">
        <v>1</v>
      </c>
      <c r="U41" s="237">
        <v>2</v>
      </c>
      <c r="V41" s="237"/>
      <c r="W41" s="238"/>
      <c r="X41" s="184"/>
      <c r="Y41" s="116"/>
      <c r="Z41" s="183" t="s">
        <v>200</v>
      </c>
      <c r="AA41" s="80" t="s">
        <v>153</v>
      </c>
      <c r="AB41" s="173">
        <v>2.25</v>
      </c>
      <c r="AC41" s="174">
        <v>2.25</v>
      </c>
      <c r="AD41" s="181">
        <v>5.05</v>
      </c>
      <c r="AE41" s="210"/>
      <c r="AF41"/>
      <c r="AI41"/>
      <c r="AL41" s="263">
        <v>0</v>
      </c>
      <c r="AM41" s="34"/>
      <c r="AN41" s="34"/>
      <c r="AO41" s="34"/>
      <c r="AP41" s="34"/>
      <c r="AQ41" s="34">
        <v>0</v>
      </c>
      <c r="AR41" s="12"/>
    </row>
    <row r="42" spans="1:44" ht="14.25" thickBot="1">
      <c r="A42" s="80" t="s">
        <v>15</v>
      </c>
      <c r="B42" s="21" t="s">
        <v>60</v>
      </c>
      <c r="C42" s="53" t="s">
        <v>62</v>
      </c>
      <c r="D42" s="31"/>
      <c r="E42" s="45"/>
      <c r="F42" s="22"/>
      <c r="G42" s="18" t="s">
        <v>138</v>
      </c>
      <c r="H42" s="71">
        <f>K33-K32</f>
        <v>-24.694992514056455</v>
      </c>
      <c r="I42" s="103" t="s">
        <v>126</v>
      </c>
      <c r="J42" s="102" t="s">
        <v>128</v>
      </c>
      <c r="K42" s="102"/>
      <c r="P42" s="257"/>
      <c r="Q42" s="257"/>
      <c r="R42" s="257"/>
      <c r="S42" s="246">
        <v>4</v>
      </c>
      <c r="T42" s="236"/>
      <c r="U42" s="237"/>
      <c r="V42" s="237"/>
      <c r="W42" s="238"/>
      <c r="X42" s="184"/>
      <c r="Y42" s="116"/>
      <c r="Z42" s="183" t="s">
        <v>201</v>
      </c>
      <c r="AA42" s="179" t="s">
        <v>85</v>
      </c>
      <c r="AB42" s="175">
        <v>-90</v>
      </c>
      <c r="AC42" s="176">
        <v>90</v>
      </c>
      <c r="AD42" s="182">
        <v>180</v>
      </c>
      <c r="AE42" s="210"/>
      <c r="AF42"/>
      <c r="AG42"/>
      <c r="AI42"/>
      <c r="AL42" s="263">
        <f>M10</f>
        <v>26</v>
      </c>
      <c r="AM42" s="34"/>
      <c r="AN42" s="34"/>
      <c r="AO42" s="34"/>
      <c r="AP42" s="34"/>
      <c r="AQ42" s="34">
        <v>0</v>
      </c>
      <c r="AR42" s="12"/>
    </row>
    <row r="43" spans="1:44" ht="15" thickBot="1" thickTop="1">
      <c r="A43" s="80" t="s">
        <v>16</v>
      </c>
      <c r="B43" s="21" t="s">
        <v>61</v>
      </c>
      <c r="C43" s="53" t="s">
        <v>63</v>
      </c>
      <c r="D43" s="31"/>
      <c r="E43" s="45"/>
      <c r="F43" s="22"/>
      <c r="G43" s="18" t="s">
        <v>138</v>
      </c>
      <c r="H43" s="71">
        <f>K31-K34</f>
        <v>103.54779948259967</v>
      </c>
      <c r="I43" s="104"/>
      <c r="J43" s="102" t="s">
        <v>127</v>
      </c>
      <c r="K43" s="102"/>
      <c r="P43" s="257"/>
      <c r="Q43" s="257"/>
      <c r="R43" s="257"/>
      <c r="S43" s="246">
        <v>5</v>
      </c>
      <c r="T43" s="236"/>
      <c r="U43" s="237"/>
      <c r="V43" s="237"/>
      <c r="W43" s="238"/>
      <c r="X43" s="184"/>
      <c r="Y43" s="184"/>
      <c r="Z43" s="183" t="s">
        <v>202</v>
      </c>
      <c r="AA43" s="179"/>
      <c r="AB43" s="177"/>
      <c r="AC43" s="177"/>
      <c r="AD43" s="177"/>
      <c r="AE43" s="210"/>
      <c r="AF43"/>
      <c r="AG43"/>
      <c r="AI43"/>
      <c r="AL43" s="263">
        <f>AL42</f>
        <v>26</v>
      </c>
      <c r="AM43" s="34"/>
      <c r="AN43" s="34"/>
      <c r="AO43" s="34"/>
      <c r="AP43" s="34"/>
      <c r="AQ43" s="34">
        <f>M11</f>
        <v>14</v>
      </c>
      <c r="AR43" s="12"/>
    </row>
    <row r="44" spans="1:44" ht="14.25" thickTop="1">
      <c r="A44" s="80" t="s">
        <v>17</v>
      </c>
      <c r="B44" s="21" t="s">
        <v>64</v>
      </c>
      <c r="C44" s="33" t="s">
        <v>66</v>
      </c>
      <c r="D44" s="31"/>
      <c r="E44" s="45"/>
      <c r="F44" s="22"/>
      <c r="G44" s="18" t="s">
        <v>7</v>
      </c>
      <c r="H44" s="71">
        <f>H42/H39</f>
        <v>40.52896097577493</v>
      </c>
      <c r="I44" s="14"/>
      <c r="J44" s="14"/>
      <c r="P44" s="257"/>
      <c r="Q44" s="257"/>
      <c r="R44" s="257"/>
      <c r="S44" s="246">
        <v>6</v>
      </c>
      <c r="T44" s="236"/>
      <c r="U44" s="237"/>
      <c r="V44" s="237"/>
      <c r="W44" s="238"/>
      <c r="X44" s="184"/>
      <c r="Y44" s="184"/>
      <c r="Z44" s="183" t="s">
        <v>203</v>
      </c>
      <c r="AA44" s="80" t="s">
        <v>204</v>
      </c>
      <c r="AB44" s="171">
        <v>2.875</v>
      </c>
      <c r="AC44" s="172">
        <v>5.125</v>
      </c>
      <c r="AD44" s="180">
        <v>4</v>
      </c>
      <c r="AE44" s="210"/>
      <c r="AF44"/>
      <c r="AG44"/>
      <c r="AI44"/>
      <c r="AL44" s="263">
        <v>0</v>
      </c>
      <c r="AM44" s="34"/>
      <c r="AN44" s="34"/>
      <c r="AO44" s="34"/>
      <c r="AP44" s="34"/>
      <c r="AQ44" s="34">
        <f>AQ43</f>
        <v>14</v>
      </c>
      <c r="AR44" s="12"/>
    </row>
    <row r="45" spans="1:44" ht="14.25" thickBot="1">
      <c r="A45" s="80" t="s">
        <v>18</v>
      </c>
      <c r="B45" s="21" t="s">
        <v>65</v>
      </c>
      <c r="C45" s="33" t="s">
        <v>67</v>
      </c>
      <c r="D45" s="31"/>
      <c r="E45" s="45"/>
      <c r="F45" s="22"/>
      <c r="G45" s="18" t="s">
        <v>7</v>
      </c>
      <c r="H45" s="71">
        <f>-H42/H38</f>
        <v>14.12109761215399</v>
      </c>
      <c r="I45" s="14"/>
      <c r="J45" s="14"/>
      <c r="P45" s="257"/>
      <c r="Q45" s="257"/>
      <c r="R45" s="257"/>
      <c r="S45" s="246">
        <v>7</v>
      </c>
      <c r="T45" s="236"/>
      <c r="U45" s="237"/>
      <c r="V45" s="237"/>
      <c r="W45" s="238"/>
      <c r="X45" s="184"/>
      <c r="Y45" s="184"/>
      <c r="Z45" s="183" t="s">
        <v>205</v>
      </c>
      <c r="AA45" s="101" t="s">
        <v>206</v>
      </c>
      <c r="AB45" s="175">
        <v>10.925</v>
      </c>
      <c r="AC45" s="178">
        <v>10.925</v>
      </c>
      <c r="AD45" s="182">
        <v>8.325</v>
      </c>
      <c r="AE45" s="210"/>
      <c r="AF45"/>
      <c r="AG45"/>
      <c r="AH45"/>
      <c r="AI45"/>
      <c r="AL45" s="263">
        <v>0</v>
      </c>
      <c r="AM45" s="34"/>
      <c r="AN45" s="34"/>
      <c r="AO45" s="34"/>
      <c r="AP45" s="34"/>
      <c r="AQ45" s="34">
        <v>0</v>
      </c>
      <c r="AR45" s="12"/>
    </row>
    <row r="46" spans="1:44" ht="14.25" thickTop="1">
      <c r="A46" s="80" t="s">
        <v>17</v>
      </c>
      <c r="B46" s="21" t="s">
        <v>68</v>
      </c>
      <c r="C46" s="33" t="s">
        <v>70</v>
      </c>
      <c r="D46" s="31"/>
      <c r="E46" s="45"/>
      <c r="F46" s="22"/>
      <c r="G46" s="18" t="s">
        <v>7</v>
      </c>
      <c r="H46" s="71">
        <f>H43/H41</f>
        <v>11.656411888362646</v>
      </c>
      <c r="I46" s="14"/>
      <c r="J46" s="14"/>
      <c r="P46" s="257"/>
      <c r="Q46" s="257"/>
      <c r="R46" s="257"/>
      <c r="S46" s="242">
        <v>8</v>
      </c>
      <c r="T46" s="236"/>
      <c r="U46" s="237"/>
      <c r="V46" s="237"/>
      <c r="W46" s="238"/>
      <c r="X46" s="184"/>
      <c r="Y46" s="184"/>
      <c r="Z46" s="116"/>
      <c r="AA46" s="116"/>
      <c r="AB46" s="116"/>
      <c r="AC46" s="116"/>
      <c r="AD46" s="116"/>
      <c r="AE46" s="202"/>
      <c r="AF46"/>
      <c r="AG46"/>
      <c r="AH46"/>
      <c r="AI46"/>
      <c r="AL46" s="263"/>
      <c r="AM46" s="34"/>
      <c r="AN46" s="34"/>
      <c r="AO46" s="34"/>
      <c r="AP46" s="34"/>
      <c r="AQ46" s="34"/>
      <c r="AR46" s="12"/>
    </row>
    <row r="47" spans="1:44" ht="13.5">
      <c r="A47" s="80" t="s">
        <v>18</v>
      </c>
      <c r="B47" s="21" t="s">
        <v>69</v>
      </c>
      <c r="C47" s="33" t="s">
        <v>71</v>
      </c>
      <c r="D47" s="31"/>
      <c r="E47" s="45"/>
      <c r="F47" s="22"/>
      <c r="G47" s="18" t="s">
        <v>7</v>
      </c>
      <c r="H47" s="71">
        <f>-H43/H40</f>
        <v>169.9407166035335</v>
      </c>
      <c r="I47" s="14"/>
      <c r="J47" s="14"/>
      <c r="P47" s="257"/>
      <c r="Q47" s="257"/>
      <c r="R47" s="257"/>
      <c r="S47" s="242">
        <v>9</v>
      </c>
      <c r="T47" s="236"/>
      <c r="U47" s="237"/>
      <c r="V47" s="237"/>
      <c r="W47" s="238"/>
      <c r="X47" s="184"/>
      <c r="Y47" s="206"/>
      <c r="Z47" s="116"/>
      <c r="AA47" s="207"/>
      <c r="AB47" s="208" t="s">
        <v>209</v>
      </c>
      <c r="AC47" s="34"/>
      <c r="AD47" s="209"/>
      <c r="AE47" s="223"/>
      <c r="AL47" s="263">
        <f>AL26</f>
        <v>4</v>
      </c>
      <c r="AM47" s="34"/>
      <c r="AN47" s="34"/>
      <c r="AO47" s="34"/>
      <c r="AP47" s="34"/>
      <c r="AQ47" s="34"/>
      <c r="AR47" s="12">
        <f>AM26</f>
        <v>10.925</v>
      </c>
    </row>
    <row r="48" spans="1:44" ht="13.5">
      <c r="A48" s="80" t="s">
        <v>19</v>
      </c>
      <c r="B48" s="21" t="s">
        <v>72</v>
      </c>
      <c r="C48" s="33" t="s">
        <v>83</v>
      </c>
      <c r="D48" s="31"/>
      <c r="E48" s="45"/>
      <c r="F48" s="22"/>
      <c r="G48" s="18" t="s">
        <v>7</v>
      </c>
      <c r="H48" s="256">
        <f>(H45-H47)/(H45/H44-H47/H46)</f>
        <v>10.94950767883944</v>
      </c>
      <c r="I48" s="14"/>
      <c r="J48" s="32"/>
      <c r="P48" s="257"/>
      <c r="Q48" s="257"/>
      <c r="R48" s="257"/>
      <c r="S48" s="242">
        <v>10</v>
      </c>
      <c r="T48" s="236"/>
      <c r="U48" s="237"/>
      <c r="V48" s="237"/>
      <c r="W48" s="238"/>
      <c r="X48" s="184"/>
      <c r="Y48" s="116"/>
      <c r="Z48" s="116"/>
      <c r="AA48" s="207"/>
      <c r="AB48" s="207"/>
      <c r="AC48" s="190" t="s">
        <v>210</v>
      </c>
      <c r="AD48" s="190" t="s">
        <v>211</v>
      </c>
      <c r="AE48" s="223"/>
      <c r="AL48" s="293">
        <f>AL47-E80/MAX($E$80:$J$81)*SQRT($M$10*$M$11)/$K$108</f>
        <v>3.752520306494558</v>
      </c>
      <c r="AM48" s="294"/>
      <c r="AN48" s="294"/>
      <c r="AO48" s="294"/>
      <c r="AP48" s="294"/>
      <c r="AQ48" s="294"/>
      <c r="AR48" s="295">
        <f>AR47+E81/MAX($E$80:$J$81)*SQRT(M10*M11)/$K$108</f>
        <v>12.9292517879246</v>
      </c>
    </row>
    <row r="49" spans="1:44" ht="13.5">
      <c r="A49" s="80" t="s">
        <v>202</v>
      </c>
      <c r="B49" s="21" t="s">
        <v>73</v>
      </c>
      <c r="C49" s="33" t="s">
        <v>84</v>
      </c>
      <c r="D49" s="31"/>
      <c r="E49" s="45"/>
      <c r="F49" s="22"/>
      <c r="G49" s="18" t="s">
        <v>7</v>
      </c>
      <c r="H49" s="256">
        <f>(H44-H46)/(H44/H45-H46/H47)</f>
        <v>10.306070949359928</v>
      </c>
      <c r="I49" s="14"/>
      <c r="J49" s="14"/>
      <c r="S49" s="242">
        <v>11</v>
      </c>
      <c r="T49" s="236"/>
      <c r="U49" s="237"/>
      <c r="V49" s="237"/>
      <c r="W49" s="238"/>
      <c r="X49" s="184"/>
      <c r="Y49" s="116"/>
      <c r="Z49" s="116"/>
      <c r="AA49" s="207"/>
      <c r="AB49" s="121" t="s">
        <v>212</v>
      </c>
      <c r="AC49" s="191">
        <v>0</v>
      </c>
      <c r="AD49" s="191">
        <v>1.364448051948052</v>
      </c>
      <c r="AE49" s="224" t="s">
        <v>7</v>
      </c>
      <c r="AK49" s="3"/>
      <c r="AL49" s="296"/>
      <c r="AM49" s="297"/>
      <c r="AN49" s="297"/>
      <c r="AO49" s="297"/>
      <c r="AP49" s="297"/>
      <c r="AQ49" s="297"/>
      <c r="AR49" s="298"/>
    </row>
    <row r="50" spans="1:44" ht="14.25" thickBot="1">
      <c r="A50" s="80" t="s">
        <v>39</v>
      </c>
      <c r="B50" s="33" t="s">
        <v>141</v>
      </c>
      <c r="C50" s="54" t="s">
        <v>140</v>
      </c>
      <c r="D50" s="31"/>
      <c r="E50" s="45"/>
      <c r="F50" s="22"/>
      <c r="G50" s="18"/>
      <c r="H50" s="71">
        <f>-K35/K36</f>
        <v>0.17080787462855976</v>
      </c>
      <c r="I50" s="14"/>
      <c r="J50" s="14"/>
      <c r="N50" s="35"/>
      <c r="S50" s="242">
        <v>12</v>
      </c>
      <c r="T50" s="239"/>
      <c r="U50" s="240"/>
      <c r="V50" s="240"/>
      <c r="W50" s="241"/>
      <c r="X50" s="184"/>
      <c r="Y50" s="116"/>
      <c r="Z50" s="116"/>
      <c r="AA50" s="207"/>
      <c r="AB50" s="121" t="s">
        <v>213</v>
      </c>
      <c r="AC50" s="192">
        <v>-3.1394429157033393E-16</v>
      </c>
      <c r="AD50" s="192">
        <v>0</v>
      </c>
      <c r="AE50" s="224" t="s">
        <v>7</v>
      </c>
      <c r="AK50" s="3"/>
      <c r="AL50" s="296">
        <f>AL27</f>
        <v>12</v>
      </c>
      <c r="AM50" s="297"/>
      <c r="AN50" s="297"/>
      <c r="AO50" s="297"/>
      <c r="AP50" s="297"/>
      <c r="AQ50" s="297"/>
      <c r="AR50" s="298">
        <f>AM27</f>
        <v>7</v>
      </c>
    </row>
    <row r="51" spans="1:44" ht="13.5" thickTop="1">
      <c r="A51" s="80" t="s">
        <v>202</v>
      </c>
      <c r="B51" s="48" t="s">
        <v>20</v>
      </c>
      <c r="C51" s="54" t="s">
        <v>227</v>
      </c>
      <c r="D51" s="31"/>
      <c r="E51" s="45"/>
      <c r="F51" s="22"/>
      <c r="G51" s="18" t="s">
        <v>11</v>
      </c>
      <c r="H51" s="71">
        <f>ATAN(H50)/2</f>
        <v>0.08458761751876259</v>
      </c>
      <c r="I51" s="269">
        <f>H51*180/PI()</f>
        <v>4.846513482891961</v>
      </c>
      <c r="J51" s="14"/>
      <c r="N51" s="35"/>
      <c r="S51" s="201"/>
      <c r="T51" s="184"/>
      <c r="U51" s="184"/>
      <c r="V51" s="184"/>
      <c r="W51" s="184"/>
      <c r="X51" s="184"/>
      <c r="Y51" s="116"/>
      <c r="Z51" s="116"/>
      <c r="AA51" s="207"/>
      <c r="AB51" s="207"/>
      <c r="AC51" s="211"/>
      <c r="AD51" s="211"/>
      <c r="AE51" s="223"/>
      <c r="AK51" s="3"/>
      <c r="AL51" s="296">
        <f>AL50-F80/MAX($E$80:$J$81)*SQRT($M$10*$M$11)/$K$108</f>
        <v>12.369615605614374</v>
      </c>
      <c r="AM51" s="297"/>
      <c r="AN51" s="297"/>
      <c r="AO51" s="297"/>
      <c r="AP51" s="297"/>
      <c r="AQ51" s="297"/>
      <c r="AR51" s="298">
        <f>AR50+F81/MAX($E$80:$J$81)*SQRT($M$10*$M$11)/$K$108</f>
        <v>8.38244839406809</v>
      </c>
    </row>
    <row r="52" spans="1:44" s="5" customFormat="1" ht="13.5">
      <c r="A52" s="80"/>
      <c r="B52" s="86" t="s">
        <v>22</v>
      </c>
      <c r="C52" s="87" t="s">
        <v>80</v>
      </c>
      <c r="D52" s="30"/>
      <c r="E52" s="88"/>
      <c r="F52" s="89"/>
      <c r="G52" s="29" t="s">
        <v>23</v>
      </c>
      <c r="H52" s="69">
        <f>(E18-H48)*E17+(E19-H49)*E16</f>
        <v>12.403428050700226</v>
      </c>
      <c r="K52" s="3"/>
      <c r="L52" s="3"/>
      <c r="M52" s="3"/>
      <c r="N52" s="36"/>
      <c r="O52" s="35"/>
      <c r="S52" s="221"/>
      <c r="T52" s="184"/>
      <c r="U52" s="184"/>
      <c r="V52" s="184"/>
      <c r="W52" s="184"/>
      <c r="X52" s="184"/>
      <c r="Y52" s="116"/>
      <c r="Z52" s="116"/>
      <c r="AA52" s="207"/>
      <c r="AB52" s="213" t="s">
        <v>214</v>
      </c>
      <c r="AC52" s="35"/>
      <c r="AD52" s="35"/>
      <c r="AE52" s="223"/>
      <c r="AF52" s="3"/>
      <c r="AG52" s="3"/>
      <c r="AH52" s="3"/>
      <c r="AI52" s="3"/>
      <c r="AJ52" s="4"/>
      <c r="AK52" s="3"/>
      <c r="AL52" s="296"/>
      <c r="AM52" s="297"/>
      <c r="AN52" s="297"/>
      <c r="AO52" s="297"/>
      <c r="AP52" s="297"/>
      <c r="AQ52" s="297"/>
      <c r="AR52" s="298"/>
    </row>
    <row r="53" spans="1:44" s="5" customFormat="1" ht="13.5">
      <c r="A53" s="80"/>
      <c r="B53" s="21" t="s">
        <v>78</v>
      </c>
      <c r="C53" s="33" t="s">
        <v>81</v>
      </c>
      <c r="D53" s="31"/>
      <c r="E53" s="45"/>
      <c r="F53" s="22"/>
      <c r="G53" s="18" t="s">
        <v>21</v>
      </c>
      <c r="H53" s="71">
        <f>E16*COS(H51)+E17*SIN(H51)</f>
        <v>0.5110605440094458</v>
      </c>
      <c r="K53" s="3"/>
      <c r="L53" s="3"/>
      <c r="M53" s="3"/>
      <c r="N53" s="36"/>
      <c r="O53" s="35"/>
      <c r="S53" s="201"/>
      <c r="T53" s="184"/>
      <c r="U53" s="184"/>
      <c r="V53" s="184"/>
      <c r="W53" s="184"/>
      <c r="X53" s="184"/>
      <c r="Y53" s="116"/>
      <c r="Z53" s="116"/>
      <c r="AA53" s="207"/>
      <c r="AB53" s="121" t="s">
        <v>215</v>
      </c>
      <c r="AC53" s="185">
        <v>4.0439759664163955</v>
      </c>
      <c r="AD53" s="194" t="s">
        <v>208</v>
      </c>
      <c r="AE53" s="223"/>
      <c r="AF53" s="3"/>
      <c r="AG53" s="3"/>
      <c r="AH53" s="3"/>
      <c r="AI53" s="3"/>
      <c r="AJ53" s="4"/>
      <c r="AK53" s="3"/>
      <c r="AL53" s="293">
        <f>AL28</f>
        <v>21.6275</v>
      </c>
      <c r="AM53" s="297"/>
      <c r="AN53" s="297"/>
      <c r="AO53" s="297"/>
      <c r="AP53" s="297"/>
      <c r="AQ53" s="297"/>
      <c r="AR53" s="298">
        <f>AM28</f>
        <v>8.5</v>
      </c>
    </row>
    <row r="54" spans="1:44" s="5" customFormat="1" ht="13.5">
      <c r="A54" s="101"/>
      <c r="B54" s="49" t="s">
        <v>79</v>
      </c>
      <c r="C54" s="46" t="s">
        <v>82</v>
      </c>
      <c r="D54" s="55"/>
      <c r="E54" s="56"/>
      <c r="F54" s="57"/>
      <c r="G54" s="20" t="s">
        <v>21</v>
      </c>
      <c r="H54" s="72">
        <f>-E16*SIN(H51)+E17*COS(H51)</f>
        <v>6.027372405978975</v>
      </c>
      <c r="K54" s="3"/>
      <c r="L54" s="3"/>
      <c r="M54" s="3"/>
      <c r="N54" s="36"/>
      <c r="O54" s="36"/>
      <c r="S54" s="201"/>
      <c r="T54" s="184"/>
      <c r="U54" s="184"/>
      <c r="V54" s="184"/>
      <c r="W54" s="184"/>
      <c r="X54" s="184"/>
      <c r="Y54" s="116"/>
      <c r="Z54" s="116"/>
      <c r="AA54" s="207"/>
      <c r="AB54" s="121" t="s">
        <v>216</v>
      </c>
      <c r="AC54" s="186">
        <v>1.14050390625</v>
      </c>
      <c r="AD54" s="194" t="s">
        <v>208</v>
      </c>
      <c r="AE54" s="223"/>
      <c r="AF54" s="3"/>
      <c r="AG54" s="3"/>
      <c r="AH54" s="3"/>
      <c r="AI54" s="3"/>
      <c r="AJ54" s="4"/>
      <c r="AK54" s="3"/>
      <c r="AL54" s="296">
        <f>AL53-G80/MAX($E$80:$J$81)*SQRT($M$10*$M$11)/$K$108</f>
        <v>21.50536408789107</v>
      </c>
      <c r="AM54" s="297"/>
      <c r="AN54" s="297"/>
      <c r="AO54" s="297"/>
      <c r="AP54" s="297"/>
      <c r="AQ54" s="297"/>
      <c r="AR54" s="298">
        <f>AR53+G81/MAX($E$80:$J$81)*SQRT(M10*M11)/$K$108</f>
        <v>10.884848003542364</v>
      </c>
    </row>
    <row r="55" spans="10:44" ht="13.5">
      <c r="J55" s="5"/>
      <c r="N55" s="36"/>
      <c r="O55" s="36"/>
      <c r="S55" s="201"/>
      <c r="T55" s="184"/>
      <c r="U55" s="184"/>
      <c r="V55" s="184"/>
      <c r="W55" s="184"/>
      <c r="X55" s="184"/>
      <c r="Y55" s="116"/>
      <c r="Z55" s="116"/>
      <c r="AA55" s="207"/>
      <c r="AB55" s="121" t="s">
        <v>217</v>
      </c>
      <c r="AC55" s="196">
        <v>4.0645561698600346E-15</v>
      </c>
      <c r="AD55" s="208" t="s">
        <v>10</v>
      </c>
      <c r="AE55" s="223"/>
      <c r="AK55" s="3"/>
      <c r="AL55" s="296"/>
      <c r="AM55" s="297"/>
      <c r="AN55" s="297"/>
      <c r="AO55" s="297"/>
      <c r="AP55" s="297"/>
      <c r="AQ55" s="297"/>
      <c r="AR55" s="298"/>
    </row>
    <row r="56" spans="1:44" ht="12.75">
      <c r="A56" s="6"/>
      <c r="B56" s="7" t="s">
        <v>0</v>
      </c>
      <c r="C56" s="7" t="s">
        <v>1</v>
      </c>
      <c r="D56" s="7" t="s">
        <v>2</v>
      </c>
      <c r="E56" s="7">
        <f>E7</f>
        <v>1</v>
      </c>
      <c r="F56" s="7">
        <f>F7</f>
        <v>2</v>
      </c>
      <c r="G56" s="7">
        <v>3</v>
      </c>
      <c r="H56" s="7">
        <f>H7</f>
        <v>4</v>
      </c>
      <c r="I56" s="7">
        <v>5</v>
      </c>
      <c r="J56" s="7">
        <v>6</v>
      </c>
      <c r="K56" s="7" t="s">
        <v>3</v>
      </c>
      <c r="N56" s="38"/>
      <c r="O56" s="36"/>
      <c r="S56" s="214"/>
      <c r="T56" s="215"/>
      <c r="U56" s="215"/>
      <c r="V56" s="215"/>
      <c r="W56" s="215"/>
      <c r="X56" s="215"/>
      <c r="Y56" s="216"/>
      <c r="Z56" s="216"/>
      <c r="AA56" s="217"/>
      <c r="AB56" s="217" t="s">
        <v>202</v>
      </c>
      <c r="AC56" s="218">
        <v>7.093988779630752E-17</v>
      </c>
      <c r="AD56" s="219" t="s">
        <v>11</v>
      </c>
      <c r="AE56" s="225"/>
      <c r="AK56" s="3"/>
      <c r="AL56" s="296">
        <f>AL29</f>
        <v>21.6275</v>
      </c>
      <c r="AM56" s="297"/>
      <c r="AN56" s="297"/>
      <c r="AO56" s="297"/>
      <c r="AP56" s="297"/>
      <c r="AQ56" s="297"/>
      <c r="AR56" s="298">
        <f>AM29</f>
        <v>8.5</v>
      </c>
    </row>
    <row r="57" spans="1:44" ht="12.75">
      <c r="A57" s="8"/>
      <c r="B57" s="9" t="s">
        <v>4</v>
      </c>
      <c r="C57" s="9"/>
      <c r="D57" s="9" t="s">
        <v>5</v>
      </c>
      <c r="E57" s="9"/>
      <c r="F57" s="9"/>
      <c r="G57" s="9"/>
      <c r="H57" s="9"/>
      <c r="I57" s="9"/>
      <c r="J57" s="9"/>
      <c r="K57" s="9"/>
      <c r="N57" s="38"/>
      <c r="O57" s="36"/>
      <c r="S57"/>
      <c r="T57"/>
      <c r="U57"/>
      <c r="V57"/>
      <c r="W57"/>
      <c r="X57"/>
      <c r="AK57" s="3"/>
      <c r="AL57" s="296">
        <f>AL56-H80/MAX($E$80:$J$81)*SQRT($M$10*$M$11)/$K$108</f>
        <v>21.6275</v>
      </c>
      <c r="AM57" s="297"/>
      <c r="AN57" s="297"/>
      <c r="AO57" s="297"/>
      <c r="AP57" s="297"/>
      <c r="AQ57" s="297"/>
      <c r="AR57" s="298">
        <f>AR56+H81/MAX($E$80:$J$81)*SQRT(M10*M11)/$K$108</f>
        <v>8.5</v>
      </c>
    </row>
    <row r="58" spans="1:44" ht="13.5">
      <c r="A58" s="168" t="s">
        <v>24</v>
      </c>
      <c r="B58" s="23" t="s">
        <v>85</v>
      </c>
      <c r="C58" s="24" t="s">
        <v>86</v>
      </c>
      <c r="D58" s="17" t="s">
        <v>10</v>
      </c>
      <c r="E58" s="90">
        <f aca="true" t="shared" si="14" ref="E58:J58">E13+$I$51</f>
        <v>4.846513482891961</v>
      </c>
      <c r="F58" s="90">
        <f t="shared" si="14"/>
        <v>169.84651348289196</v>
      </c>
      <c r="G58" s="90">
        <f t="shared" si="14"/>
        <v>4.846513482891961</v>
      </c>
      <c r="H58" s="90">
        <f t="shared" si="14"/>
        <v>4.846513482891961</v>
      </c>
      <c r="I58" s="90">
        <f t="shared" si="14"/>
        <v>4.846513482891961</v>
      </c>
      <c r="J58" s="90">
        <f t="shared" si="14"/>
        <v>4.846513482891961</v>
      </c>
      <c r="K58" s="91"/>
      <c r="N58" s="38"/>
      <c r="O58" s="36"/>
      <c r="S58" s="197" t="s">
        <v>219</v>
      </c>
      <c r="T58" s="198"/>
      <c r="U58" s="199"/>
      <c r="V58" s="199"/>
      <c r="W58" s="199"/>
      <c r="X58" s="198"/>
      <c r="Y58" s="198"/>
      <c r="Z58" s="198"/>
      <c r="AA58" s="198"/>
      <c r="AB58" s="198"/>
      <c r="AC58" s="198"/>
      <c r="AD58" s="198"/>
      <c r="AE58" s="200"/>
      <c r="AK58" s="3"/>
      <c r="AL58" s="296"/>
      <c r="AM58" s="297"/>
      <c r="AN58" s="297"/>
      <c r="AO58" s="297"/>
      <c r="AP58" s="297"/>
      <c r="AQ58" s="297"/>
      <c r="AR58" s="298"/>
    </row>
    <row r="59" spans="1:44" ht="13.5">
      <c r="A59" s="168"/>
      <c r="B59" s="19" t="s">
        <v>85</v>
      </c>
      <c r="C59" s="22"/>
      <c r="D59" s="18" t="s">
        <v>11</v>
      </c>
      <c r="E59" s="92">
        <f aca="true" t="shared" si="15" ref="E59:J59">E58*PI()/180</f>
        <v>0.08458761751876259</v>
      </c>
      <c r="F59" s="92">
        <f t="shared" si="15"/>
        <v>2.9643808833094063</v>
      </c>
      <c r="G59" s="92">
        <f t="shared" si="15"/>
        <v>0.08458761751876259</v>
      </c>
      <c r="H59" s="92">
        <f t="shared" si="15"/>
        <v>0.08458761751876259</v>
      </c>
      <c r="I59" s="92">
        <f t="shared" si="15"/>
        <v>0.08458761751876259</v>
      </c>
      <c r="J59" s="92">
        <f t="shared" si="15"/>
        <v>0.08458761751876259</v>
      </c>
      <c r="K59" s="91"/>
      <c r="M59" s="35"/>
      <c r="N59" s="38"/>
      <c r="O59" s="38"/>
      <c r="S59" s="34" t="s">
        <v>195</v>
      </c>
      <c r="T59" s="170" t="s">
        <v>196</v>
      </c>
      <c r="U59" s="227"/>
      <c r="V59" s="227"/>
      <c r="W59" s="228"/>
      <c r="X59" s="184"/>
      <c r="Y59" s="116"/>
      <c r="Z59" s="116"/>
      <c r="AA59" s="116"/>
      <c r="AB59" s="116"/>
      <c r="AC59" s="116"/>
      <c r="AD59" s="116"/>
      <c r="AE59" s="202"/>
      <c r="AK59" s="3"/>
      <c r="AL59" s="296">
        <f>AL30</f>
        <v>21.6275</v>
      </c>
      <c r="AM59" s="297"/>
      <c r="AN59" s="297"/>
      <c r="AO59" s="297"/>
      <c r="AP59" s="297"/>
      <c r="AQ59" s="297"/>
      <c r="AR59" s="298">
        <f>AM30</f>
        <v>8.5</v>
      </c>
    </row>
    <row r="60" spans="1:44" ht="14.25" thickBot="1">
      <c r="A60" s="168" t="s">
        <v>25</v>
      </c>
      <c r="B60" s="18" t="s">
        <v>87</v>
      </c>
      <c r="C60" s="22" t="s">
        <v>90</v>
      </c>
      <c r="D60" s="18" t="s">
        <v>93</v>
      </c>
      <c r="E60" s="92">
        <f aca="true" t="shared" si="16" ref="E60:J60">E25*COS(E59)^2+E26*SIN(E59)^2</f>
        <v>4.0034175578123445</v>
      </c>
      <c r="F60" s="92">
        <f t="shared" si="16"/>
        <v>2.3631578579043566</v>
      </c>
      <c r="G60" s="92">
        <f t="shared" si="16"/>
        <v>2.568422503661537</v>
      </c>
      <c r="H60" s="92">
        <f t="shared" si="16"/>
        <v>0</v>
      </c>
      <c r="I60" s="92">
        <f t="shared" si="16"/>
        <v>0</v>
      </c>
      <c r="J60" s="92">
        <f t="shared" si="16"/>
        <v>0</v>
      </c>
      <c r="K60" s="93">
        <f aca="true" t="shared" si="17" ref="K60:K68">SUM(E60:J60)</f>
        <v>8.934997919378239</v>
      </c>
      <c r="L60" s="35"/>
      <c r="M60" s="35"/>
      <c r="N60" s="38"/>
      <c r="O60" s="38"/>
      <c r="S60" s="229" t="s">
        <v>197</v>
      </c>
      <c r="T60" s="230" t="s">
        <v>198</v>
      </c>
      <c r="U60" s="231" t="s">
        <v>198</v>
      </c>
      <c r="V60" s="231" t="s">
        <v>198</v>
      </c>
      <c r="W60" s="231" t="s">
        <v>198</v>
      </c>
      <c r="X60" s="184"/>
      <c r="Y60" s="116"/>
      <c r="Z60" s="184"/>
      <c r="AA60" s="116"/>
      <c r="AB60" s="109">
        <v>1</v>
      </c>
      <c r="AC60" s="7">
        <f>IF(AB60="","",IF(AC63=0,"",AB60+1))</f>
        <v>2</v>
      </c>
      <c r="AD60" s="7">
        <f>IF(AC60="","",IF(AD63=0,"",AC60+1))</f>
        <v>3</v>
      </c>
      <c r="AE60" s="202"/>
      <c r="AK60" s="3"/>
      <c r="AL60" s="296">
        <f>AL59-I80/MAX($E$80:$J$81)*SQRT($M$10*$M$11)/$K$108</f>
        <v>21.6275</v>
      </c>
      <c r="AM60" s="297"/>
      <c r="AN60" s="297"/>
      <c r="AO60" s="297"/>
      <c r="AP60" s="297"/>
      <c r="AQ60" s="297"/>
      <c r="AR60" s="298">
        <f>AR59+I81/MAX($E$80:$J$81)*SQRT(M10*M11)/$K$108</f>
        <v>8.5</v>
      </c>
    </row>
    <row r="61" spans="1:44" ht="15" thickBot="1" thickTop="1">
      <c r="A61" s="168"/>
      <c r="B61" s="18" t="s">
        <v>88</v>
      </c>
      <c r="C61" s="22" t="s">
        <v>91</v>
      </c>
      <c r="D61" s="18" t="s">
        <v>93</v>
      </c>
      <c r="E61" s="92">
        <f aca="true" t="shared" si="18" ref="E61:J61">E25*SIN(E59)^2+E26*COS(E59)^2</f>
        <v>1.1610863484376557</v>
      </c>
      <c r="F61" s="92">
        <f t="shared" si="18"/>
        <v>0.07737339209564305</v>
      </c>
      <c r="G61" s="92">
        <f t="shared" si="18"/>
        <v>0.4586774963384634</v>
      </c>
      <c r="H61" s="92">
        <f t="shared" si="18"/>
        <v>0</v>
      </c>
      <c r="I61" s="92">
        <f t="shared" si="18"/>
        <v>0</v>
      </c>
      <c r="J61" s="92">
        <f t="shared" si="18"/>
        <v>0</v>
      </c>
      <c r="K61" s="93">
        <f t="shared" si="17"/>
        <v>1.697137236871762</v>
      </c>
      <c r="L61" s="35"/>
      <c r="M61" s="36"/>
      <c r="N61" s="38"/>
      <c r="O61" s="38"/>
      <c r="S61" s="232">
        <v>1</v>
      </c>
      <c r="T61" s="233"/>
      <c r="U61" s="234"/>
      <c r="V61" s="234"/>
      <c r="W61" s="235"/>
      <c r="X61" s="184"/>
      <c r="Y61" s="116"/>
      <c r="Z61" s="184"/>
      <c r="AA61" s="116"/>
      <c r="AB61" s="110"/>
      <c r="AC61" s="10"/>
      <c r="AD61" s="10"/>
      <c r="AE61" s="202"/>
      <c r="AK61" s="3"/>
      <c r="AL61" s="296"/>
      <c r="AM61" s="297"/>
      <c r="AN61" s="297"/>
      <c r="AO61" s="297"/>
      <c r="AP61" s="297"/>
      <c r="AQ61" s="297"/>
      <c r="AR61" s="298"/>
    </row>
    <row r="62" spans="1:44" ht="14.25" thickTop="1">
      <c r="A62" s="168"/>
      <c r="B62" s="18" t="s">
        <v>89</v>
      </c>
      <c r="C62" s="22" t="s">
        <v>92</v>
      </c>
      <c r="D62" s="18" t="s">
        <v>93</v>
      </c>
      <c r="E62" s="92">
        <f aca="true" t="shared" si="19" ref="E62:J62">(E25-E26)*SIN(E59)*COS(E59)</f>
        <v>0.24274627643185726</v>
      </c>
      <c r="F62" s="92">
        <f t="shared" si="19"/>
        <v>-0.4229268067863915</v>
      </c>
      <c r="G62" s="92">
        <f t="shared" si="19"/>
        <v>0.18018053035453468</v>
      </c>
      <c r="H62" s="92">
        <f t="shared" si="19"/>
        <v>0</v>
      </c>
      <c r="I62" s="92">
        <f t="shared" si="19"/>
        <v>0</v>
      </c>
      <c r="J62" s="92">
        <f t="shared" si="19"/>
        <v>0</v>
      </c>
      <c r="K62" s="93">
        <f t="shared" si="17"/>
        <v>4.440892098500626E-16</v>
      </c>
      <c r="L62" s="36"/>
      <c r="M62" s="36"/>
      <c r="N62" s="32"/>
      <c r="O62" s="38"/>
      <c r="P62" s="257"/>
      <c r="Q62" s="257"/>
      <c r="R62" s="258"/>
      <c r="S62" s="232">
        <v>2</v>
      </c>
      <c r="T62" s="236">
        <v>1</v>
      </c>
      <c r="U62" s="237"/>
      <c r="V62" s="237"/>
      <c r="W62" s="238"/>
      <c r="X62" s="184"/>
      <c r="Y62" s="116"/>
      <c r="Z62" s="183" t="s">
        <v>199</v>
      </c>
      <c r="AA62" s="78" t="s">
        <v>152</v>
      </c>
      <c r="AB62" s="171">
        <v>0.15</v>
      </c>
      <c r="AC62" s="172">
        <v>0.15</v>
      </c>
      <c r="AD62" s="180">
        <v>0.15</v>
      </c>
      <c r="AE62" s="202"/>
      <c r="AK62" s="3"/>
      <c r="AL62" s="296">
        <f>AL31</f>
        <v>21.6275</v>
      </c>
      <c r="AM62" s="297"/>
      <c r="AN62" s="297"/>
      <c r="AO62" s="297"/>
      <c r="AP62" s="297"/>
      <c r="AQ62" s="297"/>
      <c r="AR62" s="298">
        <f>AM31</f>
        <v>8.5</v>
      </c>
    </row>
    <row r="63" spans="1:44" ht="13.5">
      <c r="A63" s="168"/>
      <c r="B63" s="12"/>
      <c r="C63" s="27" t="s">
        <v>95</v>
      </c>
      <c r="D63" s="28" t="s">
        <v>93</v>
      </c>
      <c r="E63" s="94">
        <f aca="true" t="shared" si="20" ref="E63:J63">E60*SIN(E59)</f>
        <v>0.3382358662576531</v>
      </c>
      <c r="F63" s="94">
        <f t="shared" si="20"/>
        <v>0.4165909344708222</v>
      </c>
      <c r="G63" s="94">
        <f t="shared" si="20"/>
        <v>0.21699775201973348</v>
      </c>
      <c r="H63" s="94">
        <f t="shared" si="20"/>
        <v>0</v>
      </c>
      <c r="I63" s="94">
        <f t="shared" si="20"/>
        <v>0</v>
      </c>
      <c r="J63" s="94">
        <f t="shared" si="20"/>
        <v>0</v>
      </c>
      <c r="K63" s="95">
        <f t="shared" si="17"/>
        <v>0.9718245527482088</v>
      </c>
      <c r="L63" s="36"/>
      <c r="M63" s="36"/>
      <c r="N63" s="32"/>
      <c r="O63" s="38"/>
      <c r="P63" s="257"/>
      <c r="Q63" s="257"/>
      <c r="R63" s="258"/>
      <c r="S63" s="232">
        <v>3</v>
      </c>
      <c r="T63" s="236">
        <v>2</v>
      </c>
      <c r="U63" s="237"/>
      <c r="V63" s="237"/>
      <c r="W63" s="238"/>
      <c r="X63" s="184"/>
      <c r="Y63" s="116"/>
      <c r="Z63" s="183" t="s">
        <v>200</v>
      </c>
      <c r="AA63" s="80" t="s">
        <v>153</v>
      </c>
      <c r="AB63" s="173">
        <v>1.925</v>
      </c>
      <c r="AC63" s="174">
        <v>3.75</v>
      </c>
      <c r="AD63" s="181">
        <v>1.925</v>
      </c>
      <c r="AE63" s="203"/>
      <c r="AK63" s="3"/>
      <c r="AL63" s="299">
        <f>AL62-J80/MAX($E$80:$J$81)*SQRT($M$10*$M$11)/$K$108</f>
        <v>21.6275</v>
      </c>
      <c r="AM63" s="300"/>
      <c r="AN63" s="300"/>
      <c r="AO63" s="300"/>
      <c r="AP63" s="300"/>
      <c r="AQ63" s="300"/>
      <c r="AR63" s="301">
        <f>AR62+J81/MAX($E$80:$J$81)*SQRT(M10*M11)/$K$108</f>
        <v>8.5</v>
      </c>
    </row>
    <row r="64" spans="1:31" ht="14.25" thickBot="1">
      <c r="A64" s="168"/>
      <c r="B64" s="12"/>
      <c r="C64" s="27" t="s">
        <v>96</v>
      </c>
      <c r="D64" s="28" t="s">
        <v>93</v>
      </c>
      <c r="E64" s="94">
        <f aca="true" t="shared" si="21" ref="E64:J64">E60*COS(E59)</f>
        <v>3.989103739059326</v>
      </c>
      <c r="F64" s="94">
        <f t="shared" si="21"/>
        <v>-2.3261485452764696</v>
      </c>
      <c r="G64" s="94">
        <f t="shared" si="21"/>
        <v>2.5592393660877795</v>
      </c>
      <c r="H64" s="94">
        <f t="shared" si="21"/>
        <v>0</v>
      </c>
      <c r="I64" s="94">
        <f t="shared" si="21"/>
        <v>0</v>
      </c>
      <c r="J64" s="94">
        <f t="shared" si="21"/>
        <v>0</v>
      </c>
      <c r="K64" s="95">
        <f t="shared" si="17"/>
        <v>4.222194559870635</v>
      </c>
      <c r="L64" s="36"/>
      <c r="M64" s="36"/>
      <c r="N64" s="39"/>
      <c r="O64" s="38"/>
      <c r="P64" s="257"/>
      <c r="Q64" s="257"/>
      <c r="R64" s="258"/>
      <c r="S64" s="232">
        <v>4</v>
      </c>
      <c r="T64" s="236"/>
      <c r="U64" s="237"/>
      <c r="V64" s="237"/>
      <c r="W64" s="238"/>
      <c r="X64" s="184"/>
      <c r="Y64" s="116"/>
      <c r="Z64" s="183" t="s">
        <v>201</v>
      </c>
      <c r="AA64" s="179" t="s">
        <v>85</v>
      </c>
      <c r="AB64" s="175">
        <v>-90</v>
      </c>
      <c r="AC64" s="176">
        <v>180</v>
      </c>
      <c r="AD64" s="247">
        <v>90</v>
      </c>
      <c r="AE64" s="204"/>
    </row>
    <row r="65" spans="1:31" ht="15" thickBot="1" thickTop="1">
      <c r="A65" s="168"/>
      <c r="B65" s="12"/>
      <c r="C65" s="27" t="s">
        <v>98</v>
      </c>
      <c r="D65" s="28" t="s">
        <v>93</v>
      </c>
      <c r="E65" s="94">
        <f aca="true" t="shared" si="22" ref="E65:J65">E61*SIN(E59)</f>
        <v>0.09809644914440226</v>
      </c>
      <c r="F65" s="94">
        <f t="shared" si="22"/>
        <v>0.013639822497886565</v>
      </c>
      <c r="G65" s="94">
        <f t="shared" si="22"/>
        <v>0.038752185618056816</v>
      </c>
      <c r="H65" s="94">
        <f t="shared" si="22"/>
        <v>0</v>
      </c>
      <c r="I65" s="94">
        <f t="shared" si="22"/>
        <v>0</v>
      </c>
      <c r="J65" s="94">
        <f t="shared" si="22"/>
        <v>0</v>
      </c>
      <c r="K65" s="95">
        <f t="shared" si="17"/>
        <v>0.15048845726034563</v>
      </c>
      <c r="L65" s="36"/>
      <c r="M65" s="36"/>
      <c r="N65" s="39"/>
      <c r="O65" s="32"/>
      <c r="P65" s="257"/>
      <c r="Q65" s="257"/>
      <c r="R65" s="258"/>
      <c r="S65" s="232">
        <v>5</v>
      </c>
      <c r="T65" s="236"/>
      <c r="U65" s="237"/>
      <c r="V65" s="237"/>
      <c r="W65" s="238"/>
      <c r="X65" s="184"/>
      <c r="Y65" s="184"/>
      <c r="Z65" s="183" t="s">
        <v>202</v>
      </c>
      <c r="AA65" s="179"/>
      <c r="AB65" s="177"/>
      <c r="AC65" s="177"/>
      <c r="AD65" s="177"/>
      <c r="AE65" s="204"/>
    </row>
    <row r="66" spans="1:31" ht="14.25" thickTop="1">
      <c r="A66" s="168"/>
      <c r="B66" s="12"/>
      <c r="C66" s="27" t="s">
        <v>97</v>
      </c>
      <c r="D66" s="28" t="s">
        <v>93</v>
      </c>
      <c r="E66" s="94">
        <f aca="true" t="shared" si="23" ref="E66:J66">E61*COS(E59)</f>
        <v>1.156935000418584</v>
      </c>
      <c r="F66" s="94">
        <f t="shared" si="23"/>
        <v>-0.07616165076081444</v>
      </c>
      <c r="G66" s="94">
        <f t="shared" si="23"/>
        <v>0.45703754086195675</v>
      </c>
      <c r="H66" s="94">
        <f t="shared" si="23"/>
        <v>0</v>
      </c>
      <c r="I66" s="94">
        <f t="shared" si="23"/>
        <v>0</v>
      </c>
      <c r="J66" s="94">
        <f t="shared" si="23"/>
        <v>0</v>
      </c>
      <c r="K66" s="95">
        <f t="shared" si="17"/>
        <v>1.5378108905197263</v>
      </c>
      <c r="L66" s="36"/>
      <c r="M66" s="38"/>
      <c r="N66" s="39"/>
      <c r="O66" s="32"/>
      <c r="P66"/>
      <c r="Q66"/>
      <c r="R66" s="226"/>
      <c r="S66" s="232">
        <v>6</v>
      </c>
      <c r="T66" s="236"/>
      <c r="U66" s="237"/>
      <c r="V66" s="237"/>
      <c r="W66" s="238"/>
      <c r="X66" s="184"/>
      <c r="Y66" s="184"/>
      <c r="Z66" s="183" t="s">
        <v>203</v>
      </c>
      <c r="AA66" s="80" t="s">
        <v>204</v>
      </c>
      <c r="AB66" s="171">
        <v>19.96</v>
      </c>
      <c r="AC66" s="172">
        <v>20.925</v>
      </c>
      <c r="AD66" s="180">
        <v>19.9625</v>
      </c>
      <c r="AE66" s="204"/>
    </row>
    <row r="67" spans="1:31" ht="14.25" thickBot="1">
      <c r="A67" s="168"/>
      <c r="B67" s="12"/>
      <c r="C67" s="27" t="s">
        <v>99</v>
      </c>
      <c r="D67" s="28" t="s">
        <v>93</v>
      </c>
      <c r="E67" s="94">
        <f aca="true" t="shared" si="24" ref="E67:J67">E62*SIN(E59)</f>
        <v>0.020508851725827785</v>
      </c>
      <c r="F67" s="94">
        <f t="shared" si="24"/>
        <v>-0.07455594769625182</v>
      </c>
      <c r="G67" s="94">
        <f t="shared" si="24"/>
        <v>0.015222873179517102</v>
      </c>
      <c r="H67" s="94">
        <f t="shared" si="24"/>
        <v>0</v>
      </c>
      <c r="I67" s="94">
        <f t="shared" si="24"/>
        <v>0</v>
      </c>
      <c r="J67" s="94">
        <f t="shared" si="24"/>
        <v>0</v>
      </c>
      <c r="K67" s="95">
        <f t="shared" si="17"/>
        <v>-0.038824222790906936</v>
      </c>
      <c r="L67" s="38"/>
      <c r="M67" s="38"/>
      <c r="N67" s="39"/>
      <c r="O67" s="39"/>
      <c r="P67"/>
      <c r="Q67"/>
      <c r="R67" s="226"/>
      <c r="S67" s="232">
        <v>7</v>
      </c>
      <c r="T67" s="236"/>
      <c r="U67" s="237"/>
      <c r="V67" s="237"/>
      <c r="W67" s="238"/>
      <c r="X67" s="184"/>
      <c r="Y67" s="184"/>
      <c r="Z67" s="183" t="s">
        <v>205</v>
      </c>
      <c r="AA67" s="101" t="s">
        <v>206</v>
      </c>
      <c r="AB67" s="175">
        <v>10.33</v>
      </c>
      <c r="AC67" s="178">
        <v>8.5</v>
      </c>
      <c r="AD67" s="182">
        <v>6.675</v>
      </c>
      <c r="AE67" s="204"/>
    </row>
    <row r="68" spans="1:31" ht="14.25" thickTop="1">
      <c r="A68" s="168"/>
      <c r="B68" s="12"/>
      <c r="C68" s="27" t="s">
        <v>100</v>
      </c>
      <c r="D68" s="28" t="s">
        <v>93</v>
      </c>
      <c r="E68" s="94">
        <f aca="true" t="shared" si="25" ref="E68:J68">E62*COS(E59)</f>
        <v>0.24187836141833705</v>
      </c>
      <c r="F68" s="94">
        <f t="shared" si="25"/>
        <v>0.4163033684245751</v>
      </c>
      <c r="G68" s="94">
        <f t="shared" si="25"/>
        <v>0.1795363129035509</v>
      </c>
      <c r="H68" s="94">
        <f t="shared" si="25"/>
        <v>0</v>
      </c>
      <c r="I68" s="94">
        <f t="shared" si="25"/>
        <v>0</v>
      </c>
      <c r="J68" s="94">
        <f t="shared" si="25"/>
        <v>0</v>
      </c>
      <c r="K68" s="95">
        <f t="shared" si="17"/>
        <v>0.837718042746463</v>
      </c>
      <c r="L68" s="38"/>
      <c r="M68" s="38"/>
      <c r="N68" s="37"/>
      <c r="O68" s="39"/>
      <c r="P68"/>
      <c r="Q68"/>
      <c r="R68" s="226"/>
      <c r="S68" s="232">
        <v>8</v>
      </c>
      <c r="T68" s="236"/>
      <c r="U68" s="237"/>
      <c r="V68" s="237"/>
      <c r="W68" s="238"/>
      <c r="X68" s="184"/>
      <c r="Y68" s="184"/>
      <c r="Z68" s="116"/>
      <c r="AA68" s="116"/>
      <c r="AB68" s="116"/>
      <c r="AC68" s="116"/>
      <c r="AD68" s="116"/>
      <c r="AE68" s="205"/>
    </row>
    <row r="69" spans="1:31" ht="13.5">
      <c r="A69" s="168" t="s">
        <v>26</v>
      </c>
      <c r="B69" s="18" t="s">
        <v>101</v>
      </c>
      <c r="C69" s="22" t="s">
        <v>107</v>
      </c>
      <c r="D69" s="18" t="s">
        <v>21</v>
      </c>
      <c r="E69" s="92">
        <f aca="true" t="shared" si="26" ref="E69:J69">$H$53/$K$61*(E66-E67)+$H$54/$K$60*(E68-E63)</f>
        <v>0.2772122209139712</v>
      </c>
      <c r="F69" s="92">
        <f t="shared" si="26"/>
        <v>-0.0006775132371373783</v>
      </c>
      <c r="G69" s="92">
        <f t="shared" si="26"/>
        <v>0.10777332552713892</v>
      </c>
      <c r="H69" s="92">
        <f t="shared" si="26"/>
        <v>0</v>
      </c>
      <c r="I69" s="92">
        <f t="shared" si="26"/>
        <v>0</v>
      </c>
      <c r="J69" s="92">
        <f t="shared" si="26"/>
        <v>0</v>
      </c>
      <c r="K69" s="91"/>
      <c r="L69" s="38"/>
      <c r="M69" s="38"/>
      <c r="N69" s="39"/>
      <c r="O69" s="39"/>
      <c r="P69"/>
      <c r="Q69"/>
      <c r="R69" s="226"/>
      <c r="S69" s="232">
        <v>9</v>
      </c>
      <c r="T69" s="236"/>
      <c r="U69" s="237"/>
      <c r="V69" s="237"/>
      <c r="W69" s="238"/>
      <c r="X69" s="184"/>
      <c r="Y69" s="206"/>
      <c r="Z69" s="116"/>
      <c r="AA69" s="207"/>
      <c r="AB69" s="208" t="s">
        <v>209</v>
      </c>
      <c r="AC69" s="34"/>
      <c r="AD69" s="209"/>
      <c r="AE69" s="202"/>
    </row>
    <row r="70" spans="1:31" ht="13.5">
      <c r="A70" s="168"/>
      <c r="B70" s="18" t="s">
        <v>102</v>
      </c>
      <c r="C70" s="22" t="s">
        <v>108</v>
      </c>
      <c r="D70" s="18" t="s">
        <v>21</v>
      </c>
      <c r="E70" s="92">
        <f aca="true" t="shared" si="27" ref="E70:J70">$H$54/$K$60*(E64+E67)+$H$53/$K$61*(E68+E65)</f>
        <v>2.8071820756939374</v>
      </c>
      <c r="F70" s="92">
        <f t="shared" si="27"/>
        <v>-1.4899984420457066</v>
      </c>
      <c r="G70" s="92">
        <f t="shared" si="27"/>
        <v>1.8024145946745593</v>
      </c>
      <c r="H70" s="92">
        <f t="shared" si="27"/>
        <v>0</v>
      </c>
      <c r="I70" s="92">
        <f t="shared" si="27"/>
        <v>0</v>
      </c>
      <c r="J70" s="92">
        <f t="shared" si="27"/>
        <v>0</v>
      </c>
      <c r="K70" s="91"/>
      <c r="L70" s="38"/>
      <c r="M70" s="38"/>
      <c r="N70" s="39"/>
      <c r="O70" s="39"/>
      <c r="P70"/>
      <c r="Q70"/>
      <c r="R70" s="226"/>
      <c r="S70" s="232">
        <v>10</v>
      </c>
      <c r="T70" s="236"/>
      <c r="U70" s="237"/>
      <c r="V70" s="237"/>
      <c r="W70" s="238"/>
      <c r="X70" s="184"/>
      <c r="Y70" s="116"/>
      <c r="Z70" s="116"/>
      <c r="AA70" s="207"/>
      <c r="AB70" s="207"/>
      <c r="AC70" s="190" t="s">
        <v>210</v>
      </c>
      <c r="AD70" s="190" t="s">
        <v>211</v>
      </c>
      <c r="AE70" s="202"/>
    </row>
    <row r="71" spans="1:31" ht="13.5">
      <c r="A71" s="168" t="s">
        <v>27</v>
      </c>
      <c r="B71" s="18" t="s">
        <v>103</v>
      </c>
      <c r="C71" s="22" t="s">
        <v>109</v>
      </c>
      <c r="D71" s="18" t="s">
        <v>7</v>
      </c>
      <c r="E71" s="92">
        <f aca="true" t="shared" si="28" ref="E71:J71">IF(E14="",0,IF(E15="",0,($H$48-E14)*COS(E27)-($H$49-E15)*SIN(E27)))</f>
        <v>6.94950767883944</v>
      </c>
      <c r="F71" s="92">
        <f t="shared" si="28"/>
        <v>0.15902353717281326</v>
      </c>
      <c r="G71" s="92">
        <f t="shared" si="28"/>
        <v>-10.677992321160561</v>
      </c>
      <c r="H71" s="92">
        <f t="shared" si="28"/>
        <v>0</v>
      </c>
      <c r="I71" s="92">
        <f t="shared" si="28"/>
        <v>0</v>
      </c>
      <c r="J71" s="92">
        <f t="shared" si="28"/>
        <v>0</v>
      </c>
      <c r="K71" s="91"/>
      <c r="L71" s="38"/>
      <c r="M71" s="38"/>
      <c r="N71" s="39"/>
      <c r="O71" s="37"/>
      <c r="P71"/>
      <c r="Q71"/>
      <c r="R71" s="226"/>
      <c r="S71" s="232">
        <v>11</v>
      </c>
      <c r="T71" s="236"/>
      <c r="U71" s="237"/>
      <c r="V71" s="237"/>
      <c r="W71" s="238"/>
      <c r="X71" s="184"/>
      <c r="Y71" s="116"/>
      <c r="Z71" s="116"/>
      <c r="AA71" s="207"/>
      <c r="AB71" s="121" t="s">
        <v>212</v>
      </c>
      <c r="AC71" s="191">
        <v>-0.4875822368421053</v>
      </c>
      <c r="AD71" s="191">
        <v>1.875</v>
      </c>
      <c r="AE71" s="202"/>
    </row>
    <row r="72" spans="1:35" ht="14.25" thickBot="1">
      <c r="A72" s="168"/>
      <c r="B72" s="18" t="s">
        <v>104</v>
      </c>
      <c r="C72" s="22" t="s">
        <v>110</v>
      </c>
      <c r="D72" s="18" t="s">
        <v>7</v>
      </c>
      <c r="E72" s="92">
        <f aca="true" t="shared" si="29" ref="E72:J72">IF(E14="",0,IF(E15="",0,($H$48-E14)*SIN(E27)+($H$49-E15)*COS(E27)))</f>
        <v>-0.6189290506400731</v>
      </c>
      <c r="F72" s="92">
        <f t="shared" si="29"/>
        <v>-3.4653067329810794</v>
      </c>
      <c r="G72" s="92">
        <f t="shared" si="29"/>
        <v>1.8060709493599276</v>
      </c>
      <c r="H72" s="92">
        <f t="shared" si="29"/>
        <v>0</v>
      </c>
      <c r="I72" s="92">
        <f t="shared" si="29"/>
        <v>0</v>
      </c>
      <c r="J72" s="92">
        <f t="shared" si="29"/>
        <v>0</v>
      </c>
      <c r="K72" s="91"/>
      <c r="L72" s="38"/>
      <c r="M72" s="32"/>
      <c r="N72" s="39"/>
      <c r="O72" s="39"/>
      <c r="P72"/>
      <c r="Q72"/>
      <c r="R72" s="226"/>
      <c r="S72" s="232">
        <v>12</v>
      </c>
      <c r="T72" s="239"/>
      <c r="U72" s="240"/>
      <c r="V72" s="240"/>
      <c r="W72" s="241"/>
      <c r="X72" s="184"/>
      <c r="Y72" s="116"/>
      <c r="Z72" s="116"/>
      <c r="AA72" s="207"/>
      <c r="AB72" s="121" t="s">
        <v>213</v>
      </c>
      <c r="AC72" s="192">
        <v>1.4252403846153852</v>
      </c>
      <c r="AD72" s="192">
        <v>1.875</v>
      </c>
      <c r="AE72" s="210"/>
      <c r="AF72"/>
      <c r="AG72"/>
      <c r="AH72"/>
      <c r="AI72"/>
    </row>
    <row r="73" spans="1:35" ht="14.25" thickTop="1">
      <c r="A73" s="168" t="s">
        <v>28</v>
      </c>
      <c r="B73" s="18" t="s">
        <v>105</v>
      </c>
      <c r="C73" s="22" t="s">
        <v>104</v>
      </c>
      <c r="D73" s="18" t="s">
        <v>7</v>
      </c>
      <c r="E73" s="92">
        <f aca="true" t="shared" si="30" ref="E73:J73">E72</f>
        <v>-0.6189290506400731</v>
      </c>
      <c r="F73" s="92">
        <f t="shared" si="30"/>
        <v>-3.4653067329810794</v>
      </c>
      <c r="G73" s="92">
        <f t="shared" si="30"/>
        <v>1.8060709493599276</v>
      </c>
      <c r="H73" s="92">
        <f t="shared" si="30"/>
        <v>0</v>
      </c>
      <c r="I73" s="92">
        <f t="shared" si="30"/>
        <v>0</v>
      </c>
      <c r="J73" s="92">
        <f t="shared" si="30"/>
        <v>0</v>
      </c>
      <c r="K73" s="91"/>
      <c r="L73" s="32"/>
      <c r="M73" s="32"/>
      <c r="N73" s="37"/>
      <c r="O73" s="39"/>
      <c r="P73"/>
      <c r="Q73"/>
      <c r="R73" s="226"/>
      <c r="S73" s="116"/>
      <c r="T73" s="116"/>
      <c r="U73" s="116"/>
      <c r="V73" s="116"/>
      <c r="W73" s="116"/>
      <c r="X73" s="184"/>
      <c r="Y73" s="116"/>
      <c r="Z73" s="116"/>
      <c r="AA73" s="207"/>
      <c r="AB73" s="207"/>
      <c r="AC73" s="211"/>
      <c r="AD73" s="211"/>
      <c r="AE73" s="210"/>
      <c r="AF73"/>
      <c r="AG73"/>
      <c r="AH73"/>
      <c r="AI73"/>
    </row>
    <row r="74" spans="1:35" ht="13.5">
      <c r="A74" s="168" t="s">
        <v>29</v>
      </c>
      <c r="B74" s="18" t="s">
        <v>106</v>
      </c>
      <c r="C74" s="22" t="s">
        <v>111</v>
      </c>
      <c r="D74" s="18" t="s">
        <v>7</v>
      </c>
      <c r="E74" s="92">
        <f aca="true" t="shared" si="31" ref="E74:J74">-E71</f>
        <v>-6.94950767883944</v>
      </c>
      <c r="F74" s="92">
        <f t="shared" si="31"/>
        <v>-0.15902353717281326</v>
      </c>
      <c r="G74" s="92">
        <f t="shared" si="31"/>
        <v>10.677992321160561</v>
      </c>
      <c r="H74" s="92">
        <f t="shared" si="31"/>
        <v>0</v>
      </c>
      <c r="I74" s="92">
        <f t="shared" si="31"/>
        <v>0</v>
      </c>
      <c r="J74" s="92">
        <f t="shared" si="31"/>
        <v>0</v>
      </c>
      <c r="K74" s="91"/>
      <c r="L74" s="32"/>
      <c r="M74" s="39"/>
      <c r="N74" s="37"/>
      <c r="O74" s="39"/>
      <c r="P74"/>
      <c r="Q74"/>
      <c r="R74" s="226"/>
      <c r="S74" s="212"/>
      <c r="T74" s="116"/>
      <c r="U74" s="116"/>
      <c r="V74" s="116"/>
      <c r="W74" s="116"/>
      <c r="X74" s="184"/>
      <c r="Y74" s="116"/>
      <c r="Z74" s="116"/>
      <c r="AA74" s="207"/>
      <c r="AB74" s="213" t="s">
        <v>214</v>
      </c>
      <c r="AC74" s="35"/>
      <c r="AD74" s="35"/>
      <c r="AE74" s="210"/>
      <c r="AF74"/>
      <c r="AG74"/>
      <c r="AH74"/>
      <c r="AI74"/>
    </row>
    <row r="75" spans="1:35" ht="13.5">
      <c r="A75" s="168" t="s">
        <v>30</v>
      </c>
      <c r="B75" s="18" t="s">
        <v>31</v>
      </c>
      <c r="C75" s="22" t="s">
        <v>112</v>
      </c>
      <c r="D75" s="18" t="s">
        <v>94</v>
      </c>
      <c r="E75" s="92">
        <f aca="true" t="shared" si="32" ref="E75:J75">E73^2*E26+E74^2*E25</f>
        <v>194.77862012692367</v>
      </c>
      <c r="F75" s="92">
        <f t="shared" si="32"/>
        <v>0.08126470914785494</v>
      </c>
      <c r="G75" s="92">
        <f t="shared" si="32"/>
        <v>296.0385568861563</v>
      </c>
      <c r="H75" s="92">
        <f t="shared" si="32"/>
        <v>0</v>
      </c>
      <c r="I75" s="92">
        <f t="shared" si="32"/>
        <v>0</v>
      </c>
      <c r="J75" s="92">
        <f t="shared" si="32"/>
        <v>0</v>
      </c>
      <c r="K75" s="93">
        <f>SUM(E75:J75)</f>
        <v>490.89844172222786</v>
      </c>
      <c r="L75" s="39"/>
      <c r="M75" s="39"/>
      <c r="O75" s="39"/>
      <c r="P75"/>
      <c r="Q75"/>
      <c r="R75" s="226"/>
      <c r="S75" s="116"/>
      <c r="T75" s="116"/>
      <c r="U75" s="116"/>
      <c r="V75" s="116"/>
      <c r="W75" s="116"/>
      <c r="X75" s="184"/>
      <c r="Y75" s="116"/>
      <c r="Z75" s="116"/>
      <c r="AA75" s="207"/>
      <c r="AB75" s="121" t="s">
        <v>215</v>
      </c>
      <c r="AC75" s="193">
        <v>2.6905359375</v>
      </c>
      <c r="AD75" s="194" t="s">
        <v>93</v>
      </c>
      <c r="AE75" s="210"/>
      <c r="AF75"/>
      <c r="AG75"/>
      <c r="AH75"/>
      <c r="AI75"/>
    </row>
    <row r="76" spans="1:35" ht="13.5">
      <c r="A76" s="168" t="s">
        <v>32</v>
      </c>
      <c r="B76" s="18" t="s">
        <v>113</v>
      </c>
      <c r="C76" s="22" t="s">
        <v>115</v>
      </c>
      <c r="D76" s="18" t="s">
        <v>21</v>
      </c>
      <c r="E76" s="92">
        <f aca="true" t="shared" si="33" ref="E76:J76">$H$52*E73*E26/$K$75</f>
        <v>-0.017835599963930655</v>
      </c>
      <c r="F76" s="92">
        <f t="shared" si="33"/>
        <v>-0.00014282764825519336</v>
      </c>
      <c r="G76" s="92">
        <f t="shared" si="33"/>
        <v>0.020233945415958392</v>
      </c>
      <c r="H76" s="92">
        <f t="shared" si="33"/>
        <v>0</v>
      </c>
      <c r="I76" s="92">
        <f t="shared" si="33"/>
        <v>0</v>
      </c>
      <c r="J76" s="92">
        <f t="shared" si="33"/>
        <v>0</v>
      </c>
      <c r="K76" s="91"/>
      <c r="L76" s="39"/>
      <c r="M76" s="39"/>
      <c r="O76" s="37"/>
      <c r="P76"/>
      <c r="Q76"/>
      <c r="R76" s="226"/>
      <c r="S76" s="116"/>
      <c r="T76" s="116"/>
      <c r="U76" s="116"/>
      <c r="V76" s="116"/>
      <c r="W76" s="116"/>
      <c r="X76" s="184"/>
      <c r="Y76" s="116"/>
      <c r="Z76" s="116"/>
      <c r="AA76" s="207"/>
      <c r="AB76" s="121" t="s">
        <v>216</v>
      </c>
      <c r="AC76" s="195">
        <v>0.4433679610402961</v>
      </c>
      <c r="AD76" s="194" t="s">
        <v>93</v>
      </c>
      <c r="AE76" s="210"/>
      <c r="AF76"/>
      <c r="AG76"/>
      <c r="AH76"/>
      <c r="AI76"/>
    </row>
    <row r="77" spans="1:35" ht="13.5">
      <c r="A77" s="168"/>
      <c r="B77" s="18" t="s">
        <v>114</v>
      </c>
      <c r="C77" s="22" t="s">
        <v>116</v>
      </c>
      <c r="D77" s="18" t="s">
        <v>21</v>
      </c>
      <c r="E77" s="92">
        <f aca="true" t="shared" si="34" ref="E77:J77">$H$52*E74*E25/$K$75</f>
        <v>-0.7065812186239085</v>
      </c>
      <c r="F77" s="92">
        <f t="shared" si="34"/>
        <v>-0.009799535289920176</v>
      </c>
      <c r="G77" s="92">
        <f t="shared" si="34"/>
        <v>0.6970786278862079</v>
      </c>
      <c r="H77" s="92">
        <f t="shared" si="34"/>
        <v>0</v>
      </c>
      <c r="I77" s="92">
        <f t="shared" si="34"/>
        <v>0</v>
      </c>
      <c r="J77" s="92">
        <f t="shared" si="34"/>
        <v>0</v>
      </c>
      <c r="K77" s="91"/>
      <c r="L77" s="39"/>
      <c r="M77" s="39"/>
      <c r="O77" s="37"/>
      <c r="P77"/>
      <c r="Q77"/>
      <c r="R77" s="226"/>
      <c r="S77" s="116"/>
      <c r="T77" s="116"/>
      <c r="U77" s="116"/>
      <c r="V77" s="116"/>
      <c r="W77" s="116"/>
      <c r="X77" s="184"/>
      <c r="Y77" s="116"/>
      <c r="Z77" s="116"/>
      <c r="AA77" s="207"/>
      <c r="AB77" s="121" t="s">
        <v>217</v>
      </c>
      <c r="AC77" s="196">
        <f>AD113</f>
        <v>0</v>
      </c>
      <c r="AD77" s="208" t="s">
        <v>10</v>
      </c>
      <c r="AE77" s="210"/>
      <c r="AF77"/>
      <c r="AG77"/>
      <c r="AH77"/>
      <c r="AI77"/>
    </row>
    <row r="78" spans="1:35" ht="13.5">
      <c r="A78" s="168" t="s">
        <v>33</v>
      </c>
      <c r="B78" s="18" t="s">
        <v>117</v>
      </c>
      <c r="C78" s="22" t="s">
        <v>118</v>
      </c>
      <c r="D78" s="18" t="s">
        <v>21</v>
      </c>
      <c r="E78" s="92">
        <f aca="true" t="shared" si="35" ref="E78:J79">E69+E76</f>
        <v>0.25937662095004055</v>
      </c>
      <c r="F78" s="92">
        <f t="shared" si="35"/>
        <v>-0.0008203408853925717</v>
      </c>
      <c r="G78" s="92">
        <f t="shared" si="35"/>
        <v>0.1280072709430973</v>
      </c>
      <c r="H78" s="92">
        <f t="shared" si="35"/>
        <v>0</v>
      </c>
      <c r="I78" s="92">
        <f t="shared" si="35"/>
        <v>0</v>
      </c>
      <c r="J78" s="92">
        <f t="shared" si="35"/>
        <v>0</v>
      </c>
      <c r="K78" s="91"/>
      <c r="L78" s="39"/>
      <c r="M78" s="37"/>
      <c r="P78"/>
      <c r="Q78"/>
      <c r="R78" s="226"/>
      <c r="S78" s="216"/>
      <c r="T78" s="216"/>
      <c r="U78" s="216"/>
      <c r="V78" s="216"/>
      <c r="W78" s="216"/>
      <c r="X78" s="215"/>
      <c r="Y78" s="216"/>
      <c r="Z78" s="216"/>
      <c r="AA78" s="217"/>
      <c r="AB78" s="217" t="s">
        <v>202</v>
      </c>
      <c r="AC78" s="218">
        <v>7.093988779630752E-17</v>
      </c>
      <c r="AD78" s="219" t="s">
        <v>11</v>
      </c>
      <c r="AE78" s="220"/>
      <c r="AF78"/>
      <c r="AG78"/>
      <c r="AH78"/>
      <c r="AI78"/>
    </row>
    <row r="79" spans="1:35" ht="13.5">
      <c r="A79" s="169" t="s">
        <v>135</v>
      </c>
      <c r="B79" s="96" t="s">
        <v>120</v>
      </c>
      <c r="C79" s="97" t="s">
        <v>119</v>
      </c>
      <c r="D79" s="96" t="s">
        <v>21</v>
      </c>
      <c r="E79" s="98">
        <f t="shared" si="35"/>
        <v>2.1006008570700287</v>
      </c>
      <c r="F79" s="98">
        <f>F70+F77</f>
        <v>-1.499797977335627</v>
      </c>
      <c r="G79" s="98">
        <f t="shared" si="35"/>
        <v>2.4994932225607673</v>
      </c>
      <c r="H79" s="98">
        <f t="shared" si="35"/>
        <v>0</v>
      </c>
      <c r="I79" s="98">
        <f t="shared" si="35"/>
        <v>0</v>
      </c>
      <c r="J79" s="98">
        <f t="shared" si="35"/>
        <v>0</v>
      </c>
      <c r="K79" s="91"/>
      <c r="L79" s="37"/>
      <c r="M79" s="39"/>
      <c r="P79" s="257"/>
      <c r="Q79" s="257"/>
      <c r="R79" s="257"/>
      <c r="S79" s="257"/>
      <c r="T79" s="257"/>
      <c r="U79" s="257"/>
      <c r="V79" s="257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t="15">
      <c r="A80" s="278" t="s">
        <v>136</v>
      </c>
      <c r="B80" s="17" t="s">
        <v>121</v>
      </c>
      <c r="C80" s="99" t="s">
        <v>123</v>
      </c>
      <c r="D80" s="17" t="s">
        <v>21</v>
      </c>
      <c r="E80" s="100">
        <f aca="true" t="shared" si="36" ref="E80:J80">E78*COS(E$27)+E79*SIN(E$27)</f>
        <v>0.25937662095004055</v>
      </c>
      <c r="F80" s="100">
        <f t="shared" si="36"/>
        <v>-0.3873838918931379</v>
      </c>
      <c r="G80" s="100">
        <f t="shared" si="36"/>
        <v>0.1280072709430973</v>
      </c>
      <c r="H80" s="100">
        <f t="shared" si="36"/>
        <v>0</v>
      </c>
      <c r="I80" s="100">
        <f t="shared" si="36"/>
        <v>0</v>
      </c>
      <c r="J80" s="100">
        <f t="shared" si="36"/>
        <v>0</v>
      </c>
      <c r="K80" s="147">
        <f>SUM(E80:J80)</f>
        <v>-2.7755575615628914E-17</v>
      </c>
      <c r="L80" s="146" t="str">
        <f>IF(ABS(K80-E16)&lt;0.1,"OK","KO")</f>
        <v>OK</v>
      </c>
      <c r="M80" s="270" t="s">
        <v>229</v>
      </c>
      <c r="P80" s="257"/>
      <c r="Q80" s="257"/>
      <c r="R80" s="257"/>
      <c r="S80" s="257"/>
      <c r="T80" s="257"/>
      <c r="U80" s="257"/>
      <c r="V80" s="257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t="15">
      <c r="A81" s="279" t="s">
        <v>137</v>
      </c>
      <c r="B81" s="18" t="s">
        <v>122</v>
      </c>
      <c r="C81" s="280" t="s">
        <v>124</v>
      </c>
      <c r="D81" s="18" t="s">
        <v>21</v>
      </c>
      <c r="E81" s="281">
        <f aca="true" t="shared" si="37" ref="E81:J81">-E78*SIN(E$27)+E79*COS(E$27)</f>
        <v>2.1006008570700287</v>
      </c>
      <c r="F81" s="281">
        <f t="shared" si="37"/>
        <v>1.4489059203692043</v>
      </c>
      <c r="G81" s="281">
        <f t="shared" si="37"/>
        <v>2.4994932225607673</v>
      </c>
      <c r="H81" s="281">
        <f t="shared" si="37"/>
        <v>0</v>
      </c>
      <c r="I81" s="281">
        <f t="shared" si="37"/>
        <v>0</v>
      </c>
      <c r="J81" s="281">
        <f t="shared" si="37"/>
        <v>0</v>
      </c>
      <c r="K81" s="288">
        <f>SUM(E81:J81)</f>
        <v>6.049</v>
      </c>
      <c r="L81" s="146" t="str">
        <f>IF(ABS(K81-E17)&lt;0.1,"OK","KO")</f>
        <v>OK</v>
      </c>
      <c r="M81" s="270" t="s">
        <v>230</v>
      </c>
      <c r="P81" s="257"/>
      <c r="S81" s="257"/>
      <c r="T81" s="257"/>
      <c r="U81" s="257"/>
      <c r="V81" s="257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13.5">
      <c r="A82" s="290" t="s">
        <v>243</v>
      </c>
      <c r="B82" s="19" t="s">
        <v>237</v>
      </c>
      <c r="C82" s="16" t="s">
        <v>238</v>
      </c>
      <c r="D82" s="18" t="s">
        <v>10</v>
      </c>
      <c r="E82" s="291">
        <f>IF(SUM(E9:E15)=0,0,ATAN(E80/E81)*180/PI())</f>
        <v>7.039100900538458</v>
      </c>
      <c r="F82" s="291">
        <f>IF(SUM(F9:F15)=0,"",ATAN(F80/F81)*180/PI())</f>
        <v>-14.968661068678575</v>
      </c>
      <c r="G82" s="291">
        <f>IF(SUM(G9:G15)=0,"",ATAN(G80/G81)*180/PI())</f>
        <v>2.9317440278273494</v>
      </c>
      <c r="H82" s="291">
        <f>IF(SUM(H9:H15)=0,"",ATAN(H80/H81)*180/PI())</f>
      </c>
      <c r="I82" s="291">
        <f>IF(SUM(I9:I15)=0,"",ATAN(I80/I81)*180/PI())</f>
      </c>
      <c r="J82" s="291">
        <f>IF(SUM(J9:J15)=0,"",ATAN(J80/J81)*180/PI())</f>
      </c>
      <c r="K82" s="289"/>
      <c r="P82" s="257"/>
      <c r="S82" s="257"/>
      <c r="T82" s="257"/>
      <c r="U82" s="257"/>
      <c r="V82" s="257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14.25">
      <c r="A83" s="282" t="s">
        <v>239</v>
      </c>
      <c r="B83" s="20" t="s">
        <v>240</v>
      </c>
      <c r="C83" s="283" t="s">
        <v>241</v>
      </c>
      <c r="D83" s="20" t="s">
        <v>21</v>
      </c>
      <c r="E83" s="283">
        <f aca="true" t="shared" si="38" ref="E83:J83">IF(SUM(E9:E15)=0,0,SQRT(E80^2+E81^2))</f>
        <v>2.1165538481736768</v>
      </c>
      <c r="F83" s="283">
        <f t="shared" si="38"/>
        <v>1.4997982016855484</v>
      </c>
      <c r="G83" s="283">
        <f t="shared" si="38"/>
        <v>2.502768912832647</v>
      </c>
      <c r="H83" s="283">
        <f t="shared" si="38"/>
        <v>0</v>
      </c>
      <c r="I83" s="283">
        <f t="shared" si="38"/>
        <v>0</v>
      </c>
      <c r="J83" s="283">
        <f t="shared" si="38"/>
        <v>0</v>
      </c>
      <c r="P83" s="257"/>
      <c r="S83" s="257"/>
      <c r="T83" s="257"/>
      <c r="U83" s="257"/>
      <c r="V83" s="257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2:35" ht="12.75">
      <c r="L84" s="39"/>
      <c r="M84" s="39"/>
      <c r="P84" s="257"/>
      <c r="S84" s="257"/>
      <c r="T84" s="257"/>
      <c r="U84" s="257"/>
      <c r="V84" s="257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0:35" ht="12.75">
      <c r="T85" s="257"/>
      <c r="U85" s="257"/>
      <c r="V85" s="257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0:35" ht="12.75">
      <c r="T86" s="257"/>
      <c r="U86" s="257"/>
      <c r="V86" s="257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9:35" ht="12.75">
      <c r="I87" s="15"/>
      <c r="T87" s="257"/>
      <c r="U87" s="257"/>
      <c r="V87" s="25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0:35" ht="12.75">
      <c r="T88" s="257"/>
      <c r="U88" s="257"/>
      <c r="V88" s="257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0:35" ht="12.75">
      <c r="T89" s="257"/>
      <c r="U89" s="257"/>
      <c r="V89" s="257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0:35" ht="12.75">
      <c r="T90" s="257"/>
      <c r="U90" s="257"/>
      <c r="V90" s="257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0:35" ht="12.75">
      <c r="T91" s="257"/>
      <c r="U91" s="257"/>
      <c r="V91" s="257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0:35" ht="12.75">
      <c r="T92" s="257"/>
      <c r="U92" s="257"/>
      <c r="V92" s="257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0:35" ht="12.75">
      <c r="T93" s="257"/>
      <c r="U93" s="257"/>
      <c r="V93" s="257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0:35" ht="12.75"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0:35" ht="12.75"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0:35" ht="12.75"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0:35" ht="12.75"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0:35" ht="12.75"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0:35" ht="12.75"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0:35" ht="12.75"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0:35" ht="12.75"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0:35" ht="12.75"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0:35" ht="12.75"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0:35" ht="12.75"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0:35" ht="12.75"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0:35" ht="12.75"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0:35" ht="12.75">
      <c r="T107" s="257"/>
      <c r="U107" s="25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1:35" ht="12.75">
      <c r="K108" s="292">
        <v>8</v>
      </c>
      <c r="T108" s="257"/>
      <c r="U108" s="257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3:35" ht="12.75">
      <c r="C109" s="277"/>
      <c r="T109" s="257"/>
      <c r="U109" s="257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3:35" ht="12.75">
      <c r="C110" s="277"/>
      <c r="T110" s="257"/>
      <c r="U110" s="257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3:35" ht="12.75">
      <c r="C111" s="277"/>
      <c r="T111" s="257"/>
      <c r="U111" s="257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3:35" ht="12.75">
      <c r="C112" s="277"/>
      <c r="T112" s="257"/>
      <c r="U112" s="257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3:35" ht="12.75">
      <c r="C113" s="277"/>
      <c r="T113" s="257"/>
      <c r="U113" s="257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3:35" ht="12.75">
      <c r="C114" s="277"/>
      <c r="T114" s="257"/>
      <c r="U114" s="257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3:35" ht="12.75">
      <c r="C115" s="277"/>
      <c r="T115" s="257"/>
      <c r="U115" s="257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3:35" ht="12.75">
      <c r="C116" s="277"/>
      <c r="T116" s="257"/>
      <c r="U116" s="257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3:35" ht="12.75">
      <c r="C117" s="4"/>
      <c r="T117" s="257"/>
      <c r="U117" s="25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0:35" ht="12.75">
      <c r="T118" s="257"/>
      <c r="U118" s="257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0:35" ht="12.75">
      <c r="T119" s="257"/>
      <c r="U119" s="257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0:35" ht="12.75">
      <c r="T120" s="257"/>
      <c r="U120" s="257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0:35" ht="12.75">
      <c r="T121" s="257"/>
      <c r="U121" s="257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0:35" ht="12.75">
      <c r="T122" s="257"/>
      <c r="U122" s="257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0:35" ht="12.75">
      <c r="T123" s="257"/>
      <c r="U123" s="257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3:35" ht="12.75">
      <c r="M124" s="257"/>
      <c r="N124" s="257"/>
      <c r="O124" s="257"/>
      <c r="P124" s="257"/>
      <c r="Q124" s="257"/>
      <c r="R124" s="257"/>
      <c r="S124" s="257"/>
      <c r="T124" s="257"/>
      <c r="U124" s="257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3:35" ht="12.75">
      <c r="M125" s="257"/>
      <c r="N125" s="257"/>
      <c r="O125" s="257"/>
      <c r="P125" s="257"/>
      <c r="Q125" s="257"/>
      <c r="R125" s="257"/>
      <c r="S125" s="257"/>
      <c r="T125" s="257"/>
      <c r="U125" s="257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3:35" ht="12.75">
      <c r="M126" s="257"/>
      <c r="N126" s="257"/>
      <c r="O126" s="257"/>
      <c r="P126" s="257"/>
      <c r="Q126" s="257"/>
      <c r="R126" s="257"/>
      <c r="S126" s="257"/>
      <c r="T126" s="257"/>
      <c r="U126" s="257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3:35" ht="12.75">
      <c r="M127" s="257"/>
      <c r="N127" s="257"/>
      <c r="O127" s="257"/>
      <c r="P127" s="257"/>
      <c r="Q127" s="257"/>
      <c r="R127" s="257"/>
      <c r="S127" s="257"/>
      <c r="T127" s="257"/>
      <c r="U127" s="25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3:35" ht="12.75">
      <c r="M128" s="257"/>
      <c r="N128" s="257"/>
      <c r="O128" s="257"/>
      <c r="P128" s="257"/>
      <c r="Q128" s="257"/>
      <c r="R128" s="257"/>
      <c r="S128" s="257"/>
      <c r="T128" s="257"/>
      <c r="U128" s="257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3:35" ht="12.75">
      <c r="M129" s="257"/>
      <c r="N129" s="257"/>
      <c r="O129" s="257"/>
      <c r="P129" s="257"/>
      <c r="Q129" s="257"/>
      <c r="R129" s="257"/>
      <c r="S129" s="257"/>
      <c r="T129" s="257"/>
      <c r="U129" s="257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3:35" ht="12.75">
      <c r="M130" s="257"/>
      <c r="N130" s="257"/>
      <c r="O130" s="257"/>
      <c r="P130" s="257"/>
      <c r="Q130" s="257"/>
      <c r="R130" s="257"/>
      <c r="S130" s="257"/>
      <c r="T130" s="257"/>
      <c r="U130" s="257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3:35" ht="12.75">
      <c r="M131" s="257"/>
      <c r="N131" s="257"/>
      <c r="O131" s="257"/>
      <c r="P131" s="257"/>
      <c r="Q131" s="257"/>
      <c r="R131" s="257"/>
      <c r="S131" s="257"/>
      <c r="T131" s="257"/>
      <c r="U131" s="257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3:35" ht="12.75">
      <c r="M132" s="257"/>
      <c r="N132" s="257"/>
      <c r="O132" s="257"/>
      <c r="P132" s="257"/>
      <c r="Q132" s="257"/>
      <c r="R132" s="257"/>
      <c r="S132" s="257"/>
      <c r="T132" s="257"/>
      <c r="U132" s="257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3:35" ht="12.75">
      <c r="M133" s="257"/>
      <c r="N133" s="257"/>
      <c r="O133" s="257"/>
      <c r="P133" s="257"/>
      <c r="Q133" s="257"/>
      <c r="R133" s="257"/>
      <c r="S133" s="257"/>
      <c r="T133" s="257"/>
      <c r="U133" s="257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3:35" ht="12.75">
      <c r="M134" s="257"/>
      <c r="N134" s="257"/>
      <c r="O134" s="257"/>
      <c r="P134" s="257"/>
      <c r="Q134" s="257"/>
      <c r="R134" s="257"/>
      <c r="S134" s="257"/>
      <c r="T134" s="257"/>
      <c r="U134" s="257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3:35" ht="12.75">
      <c r="M135" s="257"/>
      <c r="N135" s="257"/>
      <c r="O135" s="257"/>
      <c r="P135" s="257"/>
      <c r="Q135" s="257"/>
      <c r="R135" s="257"/>
      <c r="S135" s="257"/>
      <c r="T135" s="257"/>
      <c r="U135" s="257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3:35" ht="12.75">
      <c r="M136" s="257"/>
      <c r="N136" s="257"/>
      <c r="O136" s="257"/>
      <c r="P136" s="257"/>
      <c r="Q136" s="257"/>
      <c r="R136" s="257"/>
      <c r="S136" s="257"/>
      <c r="T136" s="257"/>
      <c r="U136" s="257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3:35" ht="12.75">
      <c r="M137" s="257"/>
      <c r="N137" s="257"/>
      <c r="O137" s="257"/>
      <c r="P137" s="257"/>
      <c r="Q137" s="257"/>
      <c r="R137" s="257"/>
      <c r="S137" s="257"/>
      <c r="T137" s="257"/>
      <c r="U137" s="25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3:35" ht="12.75">
      <c r="M138" s="257"/>
      <c r="N138" s="257"/>
      <c r="O138" s="257"/>
      <c r="P138" s="257"/>
      <c r="Q138" s="257"/>
      <c r="R138" s="257"/>
      <c r="S138" s="257"/>
      <c r="T138" s="257"/>
      <c r="U138" s="257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3:35" ht="12.75">
      <c r="M139" s="257"/>
      <c r="N139" s="257"/>
      <c r="O139" s="257"/>
      <c r="P139" s="257"/>
      <c r="Q139" s="257"/>
      <c r="R139" s="257"/>
      <c r="S139" s="257"/>
      <c r="T139" s="257"/>
      <c r="U139" s="257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3:35" ht="12.75">
      <c r="M140" s="257"/>
      <c r="N140" s="257"/>
      <c r="O140" s="257"/>
      <c r="P140" s="257"/>
      <c r="Q140" s="257"/>
      <c r="R140" s="257"/>
      <c r="S140" s="257"/>
      <c r="T140" s="257"/>
      <c r="U140" s="257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3:35" ht="12.75">
      <c r="M141" s="257"/>
      <c r="N141" s="257"/>
      <c r="O141" s="257"/>
      <c r="P141" s="257"/>
      <c r="Q141" s="257"/>
      <c r="R141" s="257"/>
      <c r="S141" s="257"/>
      <c r="T141" s="257"/>
      <c r="U141" s="257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3:35" ht="12.75">
      <c r="M142" s="257"/>
      <c r="N142" s="257"/>
      <c r="O142" s="257"/>
      <c r="P142" s="257"/>
      <c r="Q142" s="257"/>
      <c r="R142" s="257"/>
      <c r="S142" s="257"/>
      <c r="T142" s="257"/>
      <c r="U142" s="257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3:35" ht="12.75">
      <c r="M143" s="257"/>
      <c r="N143" s="257"/>
      <c r="O143" s="257"/>
      <c r="P143" s="257"/>
      <c r="Q143" s="257"/>
      <c r="R143" s="257"/>
      <c r="S143" s="257"/>
      <c r="T143" s="257"/>
      <c r="U143" s="257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3:35" ht="12.75">
      <c r="M144" s="257"/>
      <c r="N144" s="257"/>
      <c r="O144" s="257"/>
      <c r="P144" s="257"/>
      <c r="Q144" s="257"/>
      <c r="R144" s="257"/>
      <c r="S144" s="257"/>
      <c r="T144" s="257"/>
      <c r="U144" s="257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3:35" ht="12.75">
      <c r="M145" s="257"/>
      <c r="N145" s="257"/>
      <c r="O145" s="257"/>
      <c r="P145" s="257"/>
      <c r="Q145" s="257"/>
      <c r="R145" s="257"/>
      <c r="S145" s="257"/>
      <c r="T145" s="257"/>
      <c r="U145" s="257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3:35" ht="12.75">
      <c r="M146" s="257"/>
      <c r="N146" s="257"/>
      <c r="O146" s="257"/>
      <c r="P146" s="257"/>
      <c r="Q146" s="257"/>
      <c r="R146" s="257"/>
      <c r="S146" s="257"/>
      <c r="T146" s="257"/>
      <c r="U146" s="257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3:35" ht="12.75">
      <c r="M147" s="257"/>
      <c r="N147" s="257"/>
      <c r="O147" s="257"/>
      <c r="P147" s="257"/>
      <c r="Q147" s="257"/>
      <c r="R147" s="257"/>
      <c r="S147" s="257"/>
      <c r="T147" s="257"/>
      <c r="U147" s="25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3:35" ht="12.75">
      <c r="M148" s="257"/>
      <c r="N148" s="257"/>
      <c r="O148" s="257"/>
      <c r="P148" s="257"/>
      <c r="Q148" s="257"/>
      <c r="R148" s="257"/>
      <c r="S148" s="257"/>
      <c r="T148" s="257"/>
      <c r="U148" s="257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3:35" ht="12.75">
      <c r="M149" s="257"/>
      <c r="N149" s="257"/>
      <c r="O149" s="257"/>
      <c r="P149" s="257"/>
      <c r="Q149" s="257"/>
      <c r="R149" s="257"/>
      <c r="S149" s="257"/>
      <c r="T149" s="257"/>
      <c r="U149" s="257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3:35" ht="12.75">
      <c r="M150" s="257"/>
      <c r="N150" s="257"/>
      <c r="O150" s="257"/>
      <c r="P150" s="257"/>
      <c r="Q150" s="257"/>
      <c r="R150" s="257"/>
      <c r="S150" s="257"/>
      <c r="T150" s="257"/>
      <c r="U150" s="257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3:35" ht="12.75">
      <c r="M151" s="257"/>
      <c r="N151" s="257"/>
      <c r="O151" s="257"/>
      <c r="P151" s="257"/>
      <c r="Q151" s="257"/>
      <c r="R151" s="257"/>
      <c r="S151" s="257"/>
      <c r="T151" s="257"/>
      <c r="U151" s="257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3:35" ht="12.75">
      <c r="M152" s="257"/>
      <c r="N152" s="257"/>
      <c r="O152" s="257"/>
      <c r="P152" s="257"/>
      <c r="Q152" s="257"/>
      <c r="R152" s="257"/>
      <c r="S152" s="257"/>
      <c r="T152" s="257"/>
      <c r="U152" s="257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3:35" ht="12.75">
      <c r="M153" s="257"/>
      <c r="N153" s="257"/>
      <c r="O153" s="257"/>
      <c r="P153" s="257"/>
      <c r="Q153" s="257"/>
      <c r="R153" s="257"/>
      <c r="S153" s="257"/>
      <c r="T153" s="257"/>
      <c r="U153" s="257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3:35" ht="12.75">
      <c r="M154" s="257"/>
      <c r="N154" s="257"/>
      <c r="O154" s="257"/>
      <c r="P154" s="257"/>
      <c r="Q154" s="257"/>
      <c r="R154" s="257"/>
      <c r="S154" s="257"/>
      <c r="T154" s="257"/>
      <c r="U154" s="257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3:35" ht="12.75">
      <c r="M155" s="257"/>
      <c r="N155" s="257"/>
      <c r="O155" s="257"/>
      <c r="P155" s="257"/>
      <c r="Q155" s="257"/>
      <c r="R155" s="257"/>
      <c r="S155" s="257"/>
      <c r="T155" s="257"/>
      <c r="U155" s="257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3:35" ht="12.75">
      <c r="M156" s="257"/>
      <c r="N156" s="257"/>
      <c r="O156" s="257"/>
      <c r="P156" s="257"/>
      <c r="Q156" s="257"/>
      <c r="R156" s="257"/>
      <c r="S156" s="257"/>
      <c r="T156" s="257"/>
      <c r="U156" s="257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3:35" ht="12.75">
      <c r="M157" s="257"/>
      <c r="N157" s="257"/>
      <c r="O157" s="257"/>
      <c r="P157" s="257"/>
      <c r="Q157" s="257"/>
      <c r="R157" s="257"/>
      <c r="S157" s="257"/>
      <c r="T157" s="257"/>
      <c r="U157" s="2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3:35" ht="12.75">
      <c r="M158" s="257"/>
      <c r="N158" s="257"/>
      <c r="O158" s="257"/>
      <c r="P158" s="257"/>
      <c r="Q158" s="257"/>
      <c r="R158" s="257"/>
      <c r="S158" s="257"/>
      <c r="T158" s="257"/>
      <c r="U158" s="257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6:35" ht="12.75"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6:35" ht="12.75"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6:35" ht="12.75"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6:35" ht="12.75"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6:35" ht="12.75"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6:35" ht="12.75"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6:35" ht="12.75"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6:35" ht="12.75"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6:35" ht="12.75"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6:35" ht="12.75"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6:35" ht="12.75"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6:35" ht="12.75"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6:35" ht="12.75"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6:35" ht="12.75"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6:35" ht="12.75"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6:35" ht="12.75"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6:35" ht="12.75"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6:35" ht="12.75"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6:35" ht="12.75"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6:35" ht="12.75"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6:35" ht="12.75"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6:35" ht="12.75"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6:35" ht="12.75"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6:35" ht="12.75"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6:35" ht="12.75"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6:35" ht="12.75"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6:35" ht="12.75"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6:35" ht="12.75"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6:35" ht="12.75"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6:35" ht="12.75"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6:35" ht="12.75"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6:35" ht="12.75"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6:35" ht="12.75"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6:35" ht="12.75"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6:35" ht="12.75"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6:35" ht="12.75"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6:35" ht="12.75"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6:35" ht="12.75"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6:35" ht="12.75"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6:35" ht="12.75"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6:35" ht="12.75"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6:35" ht="12.75"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6:35" ht="12.75"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6:35" ht="12.75"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6:35" ht="12.75"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6:35" ht="12.75"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6:35" ht="12.75"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6:35" ht="12.75"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6:35" ht="12.75"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6:35" ht="12.75"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6:35" ht="12.75"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6:35" ht="12.75"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6:35" ht="12.75"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6:35" ht="12.75"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6:35" ht="12.75"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6:35" ht="12.75"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6:35" ht="12.75"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6:35" ht="12.75"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6:35" ht="12.75"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6:35" ht="12.75"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6:35" ht="12.75"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6:35" ht="12.75"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6:35" ht="12.75"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6:35" ht="12.75"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6:35" ht="12.75"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6:35" ht="12.75"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6:35" ht="12.75"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6:35" ht="12.75"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6:35" ht="12.75"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6:35" ht="12.75"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6:35" ht="12.75"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6:35" ht="12.75"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6:35" ht="12.75"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6:35" ht="12.75"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6:35" ht="12.75"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6:35" ht="12.75"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6:35" ht="12.75"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6:35" ht="12.75"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6:35" ht="12.75"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6:35" ht="12.75"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6:35" ht="12.75"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6:35" ht="12.75"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6:35" ht="12.75"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6:35" ht="12.75"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6:35" ht="12.75"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6:35" ht="12.75"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6:35" ht="12.75"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6:35" ht="12.75"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6:35" ht="12.75"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6:35" ht="12.75"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6:35" ht="12.75"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6:35" ht="12.75"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6:35" ht="12.75"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6:35" ht="12.75"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6:35" ht="12.75"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6:35" ht="12.75"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6:35" ht="12.75"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6:35" ht="12.75"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6:35" ht="12.75"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6:35" ht="12.75"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6:35" ht="12.75"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6:35" ht="12.75"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6:35" ht="12.75"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6:35" ht="12.75"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6:35" ht="12.75"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6:35" ht="12.75"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6:35" ht="12.75"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6:35" ht="12.75"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6:35" ht="12.75"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6:35" ht="12.75"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6:35" ht="12.75"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6:35" ht="12.75"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6:35" ht="12.75"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6:35" ht="12.75"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6:35" ht="12.75"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6:35" ht="12.75"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6:35" ht="12.75"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6:35" ht="12.75"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6:35" ht="12.75"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6:35" ht="12.75"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6:35" ht="12.75"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6:35" ht="12.75"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6:35" ht="12.75"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6:35" ht="12.75"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6:35" ht="12.75"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6:35" ht="12.75"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6:35" ht="12.75"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6:35" ht="12.75"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6:35" ht="12.75"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6:35" ht="12.75"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6:35" ht="12.75"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6:35" ht="12.75"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6:35" ht="12.75"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6:35" ht="12.75"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6:35" ht="12.75"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6:35" ht="12.75"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6:35" ht="12.75"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6:35" ht="12.75"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6:35" ht="12.75"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6:35" ht="12.75"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6:35" ht="12.75"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6:35" ht="12.75"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6:35" ht="12.75"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6:35" ht="12.75"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6:35" ht="12.75"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6:35" ht="12.75"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6:35" ht="12.75"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6:35" ht="12.75"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6:35" ht="12.75"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6:35" ht="12.75"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6:35" ht="12.75"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6:35" ht="12.75"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6:35" ht="12.75"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6:35" ht="12.75"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6:35" ht="12.75"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6:35" ht="12.75"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6:35" ht="12.75"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6:35" ht="12.75"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6:35" ht="12.75"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6:35" ht="12.75"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6:35" ht="12.75"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6:35" ht="12.75"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6:35" ht="12.75"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6:35" ht="12.75"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6:35" ht="12.75"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6:35" ht="12.75"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6:35" ht="12.75"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6:35" ht="12.75"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6:35" ht="12.75"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6:35" ht="12.75"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6:35" ht="12.75"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6:35" ht="12.75"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6:35" ht="12.75"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6:35" ht="12.75"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6:35" ht="12.75"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6:35" ht="12.75"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6:35" ht="12.75"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6:35" ht="12.75"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6:35" ht="12.75"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6:35" ht="12.75"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6:35" ht="12.75"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6:35" ht="12.75"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6:35" ht="12.75"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6:35" ht="12.75"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6:35" ht="12.75"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6:35" ht="12.75"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6:35" ht="12.75"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6:35" ht="12.75"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6:35" ht="12.75"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6:35" ht="12.75"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6:35" ht="12.75"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6:35" ht="12.75"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6:35" ht="12.75"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6:35" ht="12.75"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6:35" ht="12.75"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6:35" ht="12.75"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6:35" ht="12.75"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6:35" ht="12.75"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6:35" ht="12.75"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6:35" ht="12.75"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6:35" ht="12.75"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6:35" ht="12.75"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6:35" ht="12.75"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6:35" ht="12.75"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6:35" ht="12.75"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6:35" ht="12.75"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6:35" ht="12.75"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6:35" ht="12.75"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6:35" ht="12.75"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6:35" ht="12.75"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6:35" ht="12.75"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6:35" ht="12.75"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6:35" ht="12.75"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6:35" ht="12.75"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6:35" ht="12.75"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6:35" ht="12.75"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6:35" ht="12.75"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6:35" ht="12.75"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6:35" ht="12.75"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6:35" ht="12.75"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6:35" ht="12.75"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6:35" ht="12.75"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6:35" ht="12.75"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6:35" ht="12.75"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6:35" ht="12.75"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6:35" ht="12.75"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6:35" ht="12.75"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6:35" ht="12.75"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6:35" ht="12.75"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6:35" ht="12.75"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6:35" ht="12.75"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6:35" ht="12.75"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6:35" ht="12.75"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6:35" ht="12.75"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6:35" ht="12.75"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6:35" ht="12.75"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6:35" ht="12.75"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6:35" ht="12.75"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6:35" ht="12.75"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6:35" ht="12.75"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6:35" ht="12.75"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6:35" ht="12.75"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6:35" ht="12.75"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6:35" ht="12.75"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6:35" ht="12.75"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6:35" ht="12.75"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6:35" ht="12.75"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6:35" ht="12.75"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6:35" ht="12.75"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</sheetData>
  <sheetProtection password="DE57" sheet="1" objects="1" scenarios="1" selectLockedCells="1"/>
  <mergeCells count="1">
    <mergeCell ref="B1:I1"/>
  </mergeCells>
  <conditionalFormatting sqref="E80:J81 U25:W26">
    <cfRule type="cellIs" priority="1" dxfId="0" operator="equal" stopIfTrue="1">
      <formula>0</formula>
    </cfRule>
  </conditionalFormatting>
  <conditionalFormatting sqref="L80:L81">
    <cfRule type="cellIs" priority="2" dxfId="1" operator="equal" stopIfTrue="1">
      <formula>"KO"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84" r:id="rId5"/>
  <rowBreaks count="2" manualBreakCount="2">
    <brk id="37" max="255" man="1"/>
    <brk id="83" max="13" man="1"/>
  </rowBreaks>
  <colBreaks count="1" manualBreakCount="1">
    <brk id="14" max="65535" man="1"/>
  </colBreaks>
  <drawing r:id="rId4"/>
  <legacyDrawing r:id="rId3"/>
  <oleObjects>
    <oleObject progId="Designer.Drawing.7" shapeId="3790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25"/>
  <sheetViews>
    <sheetView showGridLines="0" workbookViewId="0" topLeftCell="A1">
      <selection activeCell="B1" sqref="B1:I1"/>
    </sheetView>
  </sheetViews>
  <sheetFormatPr defaultColWidth="11.00390625" defaultRowHeight="12.75"/>
  <cols>
    <col min="1" max="1" width="6.125" style="3" customWidth="1"/>
    <col min="2" max="16384" width="11.375" style="3" customWidth="1"/>
  </cols>
  <sheetData>
    <row r="1" spans="2:9" ht="13.5" thickBot="1">
      <c r="B1" s="302" t="s">
        <v>245</v>
      </c>
      <c r="C1" s="302"/>
      <c r="D1" s="302"/>
      <c r="E1" s="302"/>
      <c r="F1" s="302"/>
      <c r="G1" s="302"/>
      <c r="H1" s="302"/>
      <c r="I1" s="302"/>
    </row>
    <row r="2" ht="12.75">
      <c r="A2" s="26" t="s">
        <v>134</v>
      </c>
    </row>
    <row r="4" ht="15">
      <c r="A4" s="3" t="s">
        <v>147</v>
      </c>
    </row>
    <row r="6" ht="12.75">
      <c r="A6" s="3" t="s">
        <v>160</v>
      </c>
    </row>
    <row r="7" ht="12.75">
      <c r="A7" s="3" t="s">
        <v>161</v>
      </c>
    </row>
    <row r="9" ht="12.75">
      <c r="A9" s="3" t="s">
        <v>162</v>
      </c>
    </row>
    <row r="10" ht="12.75">
      <c r="A10" s="3" t="s">
        <v>163</v>
      </c>
    </row>
    <row r="12" ht="12.75">
      <c r="A12" s="3" t="s">
        <v>164</v>
      </c>
    </row>
    <row r="13" ht="12.75">
      <c r="A13" s="3" t="s">
        <v>165</v>
      </c>
    </row>
    <row r="14" ht="12.75">
      <c r="A14" s="3" t="s">
        <v>166</v>
      </c>
    </row>
    <row r="15" ht="12.75">
      <c r="A15" s="3" t="s">
        <v>167</v>
      </c>
    </row>
    <row r="17" ht="12.75">
      <c r="A17" s="3" t="s">
        <v>145</v>
      </c>
    </row>
    <row r="18" ht="12.75">
      <c r="A18" s="3" t="s">
        <v>146</v>
      </c>
    </row>
    <row r="20" ht="12.75">
      <c r="A20" s="3" t="s">
        <v>148</v>
      </c>
    </row>
    <row r="21" ht="12.75">
      <c r="A21" s="3" t="s">
        <v>149</v>
      </c>
    </row>
    <row r="23" ht="12.75">
      <c r="A23" s="3" t="s">
        <v>150</v>
      </c>
    </row>
    <row r="24" ht="12.75">
      <c r="A24" s="25"/>
    </row>
    <row r="25" ht="12.75">
      <c r="A25" s="25"/>
    </row>
  </sheetData>
  <sheetProtection password="DE57" sheet="1" objects="1" scenarios="1"/>
  <mergeCells count="1">
    <mergeCell ref="B1:I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Henry</cp:lastModifiedBy>
  <dcterms:created xsi:type="dcterms:W3CDTF">2013-03-28T09:03:03Z</dcterms:created>
  <dcterms:modified xsi:type="dcterms:W3CDTF">2021-10-07T15:07:36Z</dcterms:modified>
  <cp:category/>
  <cp:version/>
  <cp:contentType/>
  <cp:contentStatus/>
</cp:coreProperties>
</file>