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150" windowWidth="14025" windowHeight="10515" activeTab="0"/>
  </bookViews>
  <sheets>
    <sheet name="Calculs" sheetId="1" r:id="rId1"/>
    <sheet name="Organigramme" sheetId="2" r:id="rId2"/>
  </sheets>
  <definedNames>
    <definedName name="_xlnm.Print_Area" localSheetId="0">'Calculs'!$A$2:$M$73</definedName>
  </definedNames>
  <calcPr fullCalcOnLoad="1" iterate="1" iterateCount="10" iterateDelta="0.001"/>
</workbook>
</file>

<file path=xl/comments1.xml><?xml version="1.0" encoding="utf-8"?>
<comments xmlns="http://schemas.openxmlformats.org/spreadsheetml/2006/main">
  <authors>
    <author>mactho1</author>
  </authors>
  <commentList>
    <comment ref="B11" authorId="0">
      <text>
        <r>
          <rPr>
            <b/>
            <sz val="9"/>
            <rFont val="Tahoma"/>
            <family val="0"/>
          </rPr>
          <t xml:space="preserve">Pour le coefficient </t>
        </r>
        <r>
          <rPr>
            <b/>
            <sz val="9"/>
            <rFont val="Symbol"/>
            <family val="1"/>
          </rPr>
          <t>b</t>
        </r>
        <r>
          <rPr>
            <b/>
            <sz val="9"/>
            <rFont val="Tahoma"/>
            <family val="0"/>
          </rPr>
          <t xml:space="preserve"> voir le programme N° 130</t>
        </r>
      </text>
    </comment>
    <comment ref="B7" authorId="0">
      <text>
        <r>
          <rPr>
            <b/>
            <sz val="9"/>
            <rFont val="Tahoma"/>
            <family val="0"/>
          </rPr>
          <t>Il s'agite de hauteur utile et non de distance de l'axe des armatures à la paroi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<sst xmlns="http://schemas.openxmlformats.org/spreadsheetml/2006/main" count="167" uniqueCount="107">
  <si>
    <t>Données</t>
  </si>
  <si>
    <r>
      <t>c</t>
    </r>
    <r>
      <rPr>
        <vertAlign val="subscript"/>
        <sz val="10"/>
        <rFont val="Arial"/>
        <family val="2"/>
      </rPr>
      <t>1</t>
    </r>
  </si>
  <si>
    <r>
      <t>largeur du poteau rectangulaire suivant Ox (c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≥ 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</si>
  <si>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c</t>
    </r>
    <r>
      <rPr>
        <vertAlign val="subscript"/>
        <sz val="10"/>
        <rFont val="Arial"/>
        <family val="2"/>
      </rPr>
      <t>2</t>
    </r>
  </si>
  <si>
    <r>
      <t>largeur du poteau rectangulaire suivant Oy (c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≤ c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</si>
  <si>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d</t>
  </si>
  <si>
    <r>
      <t>hauteur utile moyenne de la dalle = 0,5 (d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+ d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>)</t>
    </r>
  </si>
  <si>
    <r>
      <t>d</t>
    </r>
    <r>
      <rPr>
        <vertAlign val="subscript"/>
        <sz val="10"/>
        <rFont val="Arial"/>
        <family val="2"/>
      </rPr>
      <t>x</t>
    </r>
  </si>
  <si>
    <t>hauteur utile des armatures // Ox</t>
  </si>
  <si>
    <r>
      <t>d</t>
    </r>
    <r>
      <rPr>
        <vertAlign val="subscript"/>
        <sz val="10"/>
        <rFont val="Arial"/>
        <family val="2"/>
      </rPr>
      <t>y</t>
    </r>
  </si>
  <si>
    <t>hauteur utile des armatures // Oy</t>
  </si>
  <si>
    <r>
      <t>f</t>
    </r>
    <r>
      <rPr>
        <vertAlign val="subscript"/>
        <sz val="10"/>
        <rFont val="Arial"/>
        <family val="2"/>
      </rPr>
      <t>ck</t>
    </r>
  </si>
  <si>
    <t>résistance caractéristique du béton</t>
  </si>
  <si>
    <r>
      <t>f</t>
    </r>
    <r>
      <rPr>
        <vertAlign val="subscript"/>
        <sz val="10"/>
        <rFont val="Arial"/>
        <family val="2"/>
      </rPr>
      <t>yk</t>
    </r>
  </si>
  <si>
    <t>limite élastique de l'acier</t>
  </si>
  <si>
    <r>
      <t>b</t>
    </r>
    <r>
      <rPr>
        <sz val="10"/>
        <rFont val="Arial"/>
        <family val="2"/>
      </rPr>
      <t>.V</t>
    </r>
    <r>
      <rPr>
        <vertAlign val="subscript"/>
        <sz val="10"/>
        <rFont val="Arial"/>
        <family val="2"/>
      </rPr>
      <t>Ed</t>
    </r>
  </si>
  <si>
    <t>charge de poinçonnement de calcul</t>
  </si>
  <si>
    <r>
      <t>g</t>
    </r>
    <r>
      <rPr>
        <vertAlign val="subscript"/>
        <sz val="10"/>
        <rFont val="Arial"/>
        <family val="2"/>
      </rPr>
      <t>C</t>
    </r>
  </si>
  <si>
    <t>coefficient de sécurité sur le béton</t>
  </si>
  <si>
    <r>
      <t>g</t>
    </r>
    <r>
      <rPr>
        <vertAlign val="subscript"/>
        <sz val="10"/>
        <rFont val="Arial"/>
        <family val="2"/>
      </rPr>
      <t>S</t>
    </r>
  </si>
  <si>
    <t>coefficient de sécurité sur l'acier</t>
  </si>
  <si>
    <r>
      <t>A</t>
    </r>
    <r>
      <rPr>
        <vertAlign val="subscript"/>
        <sz val="10"/>
        <rFont val="Arial"/>
        <family val="2"/>
      </rPr>
      <t>sx</t>
    </r>
    <r>
      <rPr>
        <sz val="10"/>
        <rFont val="Arial"/>
        <family val="2"/>
      </rPr>
      <t xml:space="preserve"> </t>
    </r>
  </si>
  <si>
    <r>
      <t>A</t>
    </r>
    <r>
      <rPr>
        <vertAlign val="subscript"/>
        <sz val="10"/>
        <rFont val="Arial"/>
        <family val="2"/>
      </rPr>
      <t>sy</t>
    </r>
    <r>
      <rPr>
        <sz val="10"/>
        <rFont val="Arial"/>
        <family val="2"/>
      </rPr>
      <t xml:space="preserve"> </t>
    </r>
  </si>
  <si>
    <r>
      <t>A</t>
    </r>
    <r>
      <rPr>
        <vertAlign val="subscript"/>
        <sz val="10"/>
        <rFont val="Arial"/>
        <family val="2"/>
      </rPr>
      <t>sw</t>
    </r>
    <r>
      <rPr>
        <sz val="10"/>
        <rFont val="Arial"/>
        <family val="2"/>
      </rPr>
      <t xml:space="preserve"> </t>
    </r>
  </si>
  <si>
    <r>
      <t>s</t>
    </r>
    <r>
      <rPr>
        <vertAlign val="subscript"/>
        <sz val="10"/>
        <rFont val="Arial"/>
        <family val="2"/>
      </rPr>
      <t>r</t>
    </r>
  </si>
  <si>
    <t>espacement radial des cours d'armatures</t>
  </si>
  <si>
    <r>
      <t>u</t>
    </r>
    <r>
      <rPr>
        <vertAlign val="subscript"/>
        <sz val="9"/>
        <rFont val="Arial"/>
        <family val="2"/>
      </rPr>
      <t>0</t>
    </r>
  </si>
  <si>
    <t>m</t>
  </si>
  <si>
    <t>MPa</t>
  </si>
  <si>
    <t>MN</t>
  </si>
  <si>
    <r>
      <t>cm</t>
    </r>
    <r>
      <rPr>
        <vertAlign val="superscript"/>
        <sz val="9"/>
        <rFont val="Arial"/>
        <family val="2"/>
      </rPr>
      <t>2</t>
    </r>
  </si>
  <si>
    <r>
      <t>u</t>
    </r>
    <r>
      <rPr>
        <vertAlign val="subscript"/>
        <sz val="9"/>
        <rFont val="Arial"/>
        <family val="2"/>
      </rPr>
      <t>1</t>
    </r>
  </si>
  <si>
    <r>
      <t>v</t>
    </r>
    <r>
      <rPr>
        <vertAlign val="subscript"/>
        <sz val="9"/>
        <rFont val="Arial"/>
        <family val="2"/>
      </rPr>
      <t>0</t>
    </r>
  </si>
  <si>
    <r>
      <t>v</t>
    </r>
    <r>
      <rPr>
        <vertAlign val="subscript"/>
        <sz val="9"/>
        <rFont val="Arial"/>
        <family val="2"/>
      </rPr>
      <t>1</t>
    </r>
  </si>
  <si>
    <t>k</t>
  </si>
  <si>
    <r>
      <t>v</t>
    </r>
    <r>
      <rPr>
        <vertAlign val="subscript"/>
        <sz val="9"/>
        <rFont val="Arial"/>
        <family val="2"/>
      </rPr>
      <t>Rd,c</t>
    </r>
  </si>
  <si>
    <t>n</t>
  </si>
  <si>
    <r>
      <t>v</t>
    </r>
    <r>
      <rPr>
        <vertAlign val="subscript"/>
        <sz val="9"/>
        <rFont val="Arial"/>
        <family val="2"/>
      </rPr>
      <t>Rd,max</t>
    </r>
  </si>
  <si>
    <r>
      <t>f</t>
    </r>
    <r>
      <rPr>
        <vertAlign val="subscript"/>
        <sz val="9"/>
        <rFont val="Arial"/>
        <family val="2"/>
      </rPr>
      <t>ywd,ef</t>
    </r>
  </si>
  <si>
    <r>
      <t>(A</t>
    </r>
    <r>
      <rPr>
        <vertAlign val="subscript"/>
        <sz val="9"/>
        <rFont val="Arial"/>
        <family val="2"/>
      </rPr>
      <t>sw</t>
    </r>
    <r>
      <rPr>
        <sz val="9"/>
        <rFont val="Arial"/>
        <family val="0"/>
      </rPr>
      <t>/s</t>
    </r>
    <r>
      <rPr>
        <vertAlign val="subscript"/>
        <sz val="9"/>
        <rFont val="Arial"/>
        <family val="2"/>
      </rPr>
      <t>r</t>
    </r>
    <r>
      <rPr>
        <sz val="9"/>
        <rFont val="Arial"/>
        <family val="0"/>
      </rPr>
      <t>)</t>
    </r>
    <r>
      <rPr>
        <vertAlign val="subscript"/>
        <sz val="9"/>
        <rFont val="Arial"/>
        <family val="2"/>
      </rPr>
      <t>1</t>
    </r>
  </si>
  <si>
    <r>
      <t>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/m</t>
    </r>
  </si>
  <si>
    <r>
      <t>d</t>
    </r>
    <r>
      <rPr>
        <vertAlign val="subscript"/>
        <sz val="9"/>
        <rFont val="Arial"/>
        <family val="2"/>
      </rPr>
      <t>1</t>
    </r>
  </si>
  <si>
    <r>
      <t>v</t>
    </r>
    <r>
      <rPr>
        <vertAlign val="subscript"/>
        <sz val="9"/>
        <rFont val="Arial"/>
        <family val="2"/>
      </rPr>
      <t>Rd,c</t>
    </r>
    <r>
      <rPr>
        <sz val="9"/>
        <rFont val="Arial"/>
        <family val="0"/>
      </rPr>
      <t xml:space="preserve"> = </t>
    </r>
  </si>
  <si>
    <r>
      <t>v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 xml:space="preserve"> =</t>
    </r>
  </si>
  <si>
    <r>
      <t>a</t>
    </r>
    <r>
      <rPr>
        <vertAlign val="subscript"/>
        <sz val="9"/>
        <rFont val="Arial"/>
        <family val="2"/>
      </rPr>
      <t>1</t>
    </r>
  </si>
  <si>
    <r>
      <t>r</t>
    </r>
    <r>
      <rPr>
        <vertAlign val="subscript"/>
        <sz val="9"/>
        <rFont val="Arial"/>
        <family val="2"/>
      </rPr>
      <t>1</t>
    </r>
  </si>
  <si>
    <r>
      <t>d</t>
    </r>
    <r>
      <rPr>
        <vertAlign val="subscript"/>
        <sz val="9"/>
        <rFont val="Arial"/>
        <family val="2"/>
      </rPr>
      <t>2</t>
    </r>
  </si>
  <si>
    <r>
      <t>r</t>
    </r>
    <r>
      <rPr>
        <vertAlign val="subscript"/>
        <sz val="9"/>
        <rFont val="Arial"/>
        <family val="2"/>
      </rPr>
      <t>2</t>
    </r>
  </si>
  <si>
    <r>
      <t>(A</t>
    </r>
    <r>
      <rPr>
        <vertAlign val="subscript"/>
        <sz val="9"/>
        <rFont val="Arial"/>
        <family val="2"/>
      </rPr>
      <t>sw</t>
    </r>
    <r>
      <rPr>
        <sz val="9"/>
        <rFont val="Arial"/>
        <family val="0"/>
      </rPr>
      <t>/s</t>
    </r>
    <r>
      <rPr>
        <vertAlign val="subscript"/>
        <sz val="9"/>
        <rFont val="Arial"/>
        <family val="2"/>
      </rPr>
      <t>r</t>
    </r>
    <r>
      <rPr>
        <sz val="9"/>
        <rFont val="Arial"/>
        <family val="0"/>
      </rPr>
      <t>)</t>
    </r>
    <r>
      <rPr>
        <vertAlign val="subscript"/>
        <sz val="9"/>
        <rFont val="Arial"/>
        <family val="2"/>
      </rPr>
      <t>2</t>
    </r>
  </si>
  <si>
    <r>
      <t>a</t>
    </r>
    <r>
      <rPr>
        <vertAlign val="subscript"/>
        <sz val="9"/>
        <rFont val="Arial"/>
        <family val="2"/>
      </rPr>
      <t>2</t>
    </r>
  </si>
  <si>
    <r>
      <t>v</t>
    </r>
    <r>
      <rPr>
        <vertAlign val="subscript"/>
        <sz val="9"/>
        <rFont val="Arial"/>
        <family val="2"/>
      </rPr>
      <t>2</t>
    </r>
  </si>
  <si>
    <r>
      <t>r</t>
    </r>
    <r>
      <rPr>
        <vertAlign val="subscript"/>
        <sz val="9"/>
        <rFont val="Arial"/>
        <family val="2"/>
      </rPr>
      <t>cont2</t>
    </r>
  </si>
  <si>
    <r>
      <t>u</t>
    </r>
    <r>
      <rPr>
        <vertAlign val="subscript"/>
        <sz val="9"/>
        <rFont val="Arial"/>
        <family val="2"/>
      </rPr>
      <t>2</t>
    </r>
  </si>
  <si>
    <r>
      <t>A</t>
    </r>
    <r>
      <rPr>
        <vertAlign val="subscript"/>
        <sz val="9"/>
        <rFont val="Arial"/>
        <family val="2"/>
      </rPr>
      <t>sx0</t>
    </r>
  </si>
  <si>
    <r>
      <t>A</t>
    </r>
    <r>
      <rPr>
        <vertAlign val="subscript"/>
        <sz val="9"/>
        <rFont val="Arial"/>
        <family val="2"/>
      </rPr>
      <t>sy0</t>
    </r>
  </si>
  <si>
    <t>section des armatures // Ox par m de largeur</t>
  </si>
  <si>
    <t>section des armatures // Oy par m de largeur</t>
  </si>
  <si>
    <r>
      <t>v</t>
    </r>
    <r>
      <rPr>
        <vertAlign val="subscript"/>
        <sz val="9"/>
        <rFont val="Arial"/>
        <family val="2"/>
      </rPr>
      <t>Rd,c1</t>
    </r>
  </si>
  <si>
    <t>chapiteau :</t>
  </si>
  <si>
    <r>
      <t>d</t>
    </r>
    <r>
      <rPr>
        <vertAlign val="subscript"/>
        <sz val="9"/>
        <rFont val="Arial"/>
        <family val="2"/>
      </rPr>
      <t>3</t>
    </r>
  </si>
  <si>
    <r>
      <t>r</t>
    </r>
    <r>
      <rPr>
        <vertAlign val="subscript"/>
        <sz val="9"/>
        <rFont val="Arial"/>
        <family val="2"/>
      </rPr>
      <t>3</t>
    </r>
  </si>
  <si>
    <r>
      <t>r</t>
    </r>
    <r>
      <rPr>
        <vertAlign val="subscript"/>
        <sz val="9"/>
        <rFont val="Arial"/>
        <family val="2"/>
      </rPr>
      <t>cont3</t>
    </r>
  </si>
  <si>
    <r>
      <t>v</t>
    </r>
    <r>
      <rPr>
        <vertAlign val="subscript"/>
        <sz val="9"/>
        <rFont val="Arial"/>
        <family val="2"/>
      </rPr>
      <t>Rd,c3</t>
    </r>
  </si>
  <si>
    <r>
      <t>aire des cours d'armatures sur un périmètre autour du poteau (cm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</si>
  <si>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périmètre au nu du poteau</t>
  </si>
  <si>
    <t>contour de référence à 2d du nu du poteau</t>
  </si>
  <si>
    <t>contrainte de cisaillement au nu du poteau</t>
  </si>
  <si>
    <t>contrainte de cisaillement sur le contour de référence</t>
  </si>
  <si>
    <t>§6.4.4(1)</t>
  </si>
  <si>
    <t>largeur de prise en compte des armatures longiudinales (§6.4.4(1))</t>
  </si>
  <si>
    <t>§6.4.5(3)</t>
  </si>
  <si>
    <t>coefficient 0,4 suivant Corrigendum N° 2 de l'EN 1992-1-1</t>
  </si>
  <si>
    <t>§6.6N</t>
  </si>
  <si>
    <t>§6.4.5(1)</t>
  </si>
  <si>
    <t>section d'armatures nécessaires</t>
  </si>
  <si>
    <t>distance du centre du poteau à l'armature la plus éloignée</t>
  </si>
  <si>
    <t>débord du chapiteau</t>
  </si>
  <si>
    <t>retombée du chapiteau</t>
  </si>
  <si>
    <t>rayon du contour de référence compte tenu du chapiteau</t>
  </si>
  <si>
    <t>hauteur utile du chapiteau</t>
  </si>
  <si>
    <t>cisaillement résistant du chapiteau non armé</t>
  </si>
  <si>
    <t>contour de référence</t>
  </si>
  <si>
    <t>cisaillement de calcul</t>
  </si>
  <si>
    <t>H. Thonier</t>
  </si>
  <si>
    <t>L'auteur n'est pas</t>
  </si>
  <si>
    <t>responsable de</t>
  </si>
  <si>
    <t>l'usage fait de</t>
  </si>
  <si>
    <t>ce programme</t>
  </si>
  <si>
    <t>Calculs intermédiaires</t>
  </si>
  <si>
    <t>Résultats</t>
  </si>
  <si>
    <r>
      <t>r</t>
    </r>
    <r>
      <rPr>
        <vertAlign val="subscript"/>
        <sz val="9"/>
        <rFont val="Arial"/>
        <family val="2"/>
      </rPr>
      <t>cont1</t>
    </r>
  </si>
  <si>
    <r>
      <t>v</t>
    </r>
    <r>
      <rPr>
        <vertAlign val="subscript"/>
        <sz val="9"/>
        <rFont val="Arial"/>
        <family val="2"/>
      </rPr>
      <t>Rd,c2</t>
    </r>
  </si>
  <si>
    <t>cisaillement résistant</t>
  </si>
  <si>
    <t>contrainte de calcul de l'acier</t>
  </si>
  <si>
    <r>
      <t>c</t>
    </r>
    <r>
      <rPr>
        <vertAlign val="subscript"/>
        <sz val="9"/>
        <rFont val="Arial"/>
        <family val="2"/>
      </rPr>
      <t>2</t>
    </r>
    <r>
      <rPr>
        <sz val="9"/>
        <rFont val="Arial"/>
        <family val="0"/>
      </rPr>
      <t xml:space="preserve"> + 6d</t>
    </r>
  </si>
  <si>
    <r>
      <t>c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 xml:space="preserve"> + 6d</t>
    </r>
  </si>
  <si>
    <r>
      <t>u</t>
    </r>
    <r>
      <rPr>
        <vertAlign val="subscript"/>
        <sz val="9"/>
        <rFont val="Arial"/>
        <family val="2"/>
      </rPr>
      <t>out</t>
    </r>
  </si>
  <si>
    <t>N° 133 - Poinconnement des dalles - Dimensionnement pour poteau intérieur</t>
  </si>
  <si>
    <r>
      <t>v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 xml:space="preserve"> =</t>
    </r>
  </si>
  <si>
    <r>
      <t>v</t>
    </r>
    <r>
      <rPr>
        <vertAlign val="subscript"/>
        <sz val="9"/>
        <rFont val="Arial"/>
        <family val="2"/>
      </rPr>
      <t>Rd,max</t>
    </r>
    <r>
      <rPr>
        <sz val="9"/>
        <rFont val="Arial"/>
        <family val="0"/>
      </rPr>
      <t xml:space="preserve"> = </t>
    </r>
  </si>
  <si>
    <t xml:space="preserve">           fiche c</t>
  </si>
  <si>
    <r>
      <t>Fiche a</t>
    </r>
    <r>
      <rPr>
        <sz val="9"/>
        <rFont val="Arial"/>
        <family val="2"/>
      </rPr>
      <t xml:space="preserve"> - Dalle armée sans chapiteau </t>
    </r>
  </si>
  <si>
    <r>
      <t>Fiche b</t>
    </r>
    <r>
      <rPr>
        <sz val="9"/>
        <rFont val="Arial"/>
        <family val="2"/>
      </rPr>
      <t xml:space="preserve"> - Dalle non  armée avec chapiteau non armé</t>
    </r>
  </si>
  <si>
    <r>
      <t>Fiche c</t>
    </r>
    <r>
      <rPr>
        <sz val="9"/>
        <rFont val="Arial"/>
        <family val="2"/>
      </rPr>
      <t xml:space="preserve"> - Dalle non armée avec chapiteau non armé</t>
    </r>
  </si>
  <si>
    <r>
      <t>Fiche d</t>
    </r>
    <r>
      <rPr>
        <sz val="9"/>
        <rFont val="Arial"/>
        <family val="2"/>
      </rPr>
      <t xml:space="preserve"> - Dalle armée avec chapiteau non armé</t>
    </r>
  </si>
  <si>
    <r>
      <t>Fiche e</t>
    </r>
    <r>
      <rPr>
        <sz val="9"/>
        <rFont val="Arial"/>
        <family val="2"/>
      </rPr>
      <t xml:space="preserve"> - Dalle non armée avec chapiteau non armé</t>
    </r>
  </si>
  <si>
    <t xml:space="preserve">Ce document est protégé par le droit d’auteur © Henry Thonier - EGF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</si>
</sst>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0.00000"/>
    <numFmt numFmtId="168" formatCode="0.0000"/>
    <numFmt numFmtId="169" formatCode="0.000"/>
    <numFmt numFmtId="170" formatCode="0.0000000"/>
    <numFmt numFmtId="171" formatCode="0.00000000"/>
    <numFmt numFmtId="172" formatCode="0.000000000"/>
    <numFmt numFmtId="173" formatCode="0.0000000000"/>
    <numFmt numFmtId="174" formatCode="0.0"/>
  </numFmts>
  <fonts count="13">
    <font>
      <sz val="9"/>
      <name val="Arial"/>
      <family val="0"/>
    </font>
    <font>
      <sz val="8"/>
      <name val="Arial"/>
      <family val="0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sz val="9"/>
      <name val="Arial"/>
      <family val="2"/>
    </font>
    <font>
      <sz val="9"/>
      <name val="Symbol"/>
      <family val="1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b/>
      <sz val="9"/>
      <name val="Tahoma"/>
      <family val="0"/>
    </font>
    <font>
      <b/>
      <sz val="9"/>
      <name val="Symbol"/>
      <family val="1"/>
    </font>
    <font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169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9" fontId="0" fillId="0" borderId="8" xfId="0" applyNumberFormat="1" applyBorder="1" applyAlignment="1">
      <alignment horizontal="center"/>
    </xf>
    <xf numFmtId="169" fontId="0" fillId="0" borderId="9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69" fontId="0" fillId="0" borderId="8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0" fillId="0" borderId="9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6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left"/>
    </xf>
    <xf numFmtId="169" fontId="0" fillId="0" borderId="7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3" borderId="5" xfId="0" applyFont="1" applyFill="1" applyBorder="1" applyAlignment="1" applyProtection="1">
      <alignment horizontal="center"/>
      <protection locked="0"/>
    </xf>
    <xf numFmtId="174" fontId="0" fillId="0" borderId="8" xfId="0" applyNumberFormat="1" applyBorder="1" applyAlignment="1">
      <alignment horizontal="center"/>
    </xf>
    <xf numFmtId="0" fontId="0" fillId="0" borderId="10" xfId="0" applyFill="1" applyBorder="1" applyAlignment="1">
      <alignment horizontal="right"/>
    </xf>
    <xf numFmtId="16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9" fontId="0" fillId="0" borderId="11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right"/>
    </xf>
    <xf numFmtId="169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9" fontId="0" fillId="0" borderId="14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190500</xdr:colOff>
      <xdr:row>46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0" cy="713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25</xdr:row>
      <xdr:rowOff>0</xdr:rowOff>
    </xdr:from>
    <xdr:to>
      <xdr:col>9</xdr:col>
      <xdr:colOff>323850</xdr:colOff>
      <xdr:row>25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6296025" y="3810000"/>
          <a:ext cx="88582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73"/>
  <sheetViews>
    <sheetView showGridLines="0" tabSelected="1" zoomScaleSheetLayoutView="100" workbookViewId="0" topLeftCell="A1">
      <selection activeCell="B5" sqref="B5"/>
    </sheetView>
  </sheetViews>
  <sheetFormatPr defaultColWidth="11.421875" defaultRowHeight="12"/>
  <cols>
    <col min="1" max="1" width="9.7109375" style="2" customWidth="1"/>
    <col min="2" max="2" width="8.00390625" style="6" customWidth="1"/>
    <col min="3" max="3" width="5.8515625" style="0" customWidth="1"/>
    <col min="4" max="4" width="9.57421875" style="0" customWidth="1"/>
    <col min="5" max="5" width="13.421875" style="0" bestFit="1" customWidth="1"/>
    <col min="8" max="12" width="7.7109375" style="0" customWidth="1"/>
  </cols>
  <sheetData>
    <row r="1" spans="2:9" ht="12.75" thickBot="1">
      <c r="B1" s="52" t="s">
        <v>106</v>
      </c>
      <c r="C1" s="52"/>
      <c r="D1" s="52"/>
      <c r="E1" s="52"/>
      <c r="F1" s="52"/>
      <c r="G1" s="52"/>
      <c r="H1" s="52"/>
      <c r="I1" s="52"/>
    </row>
    <row r="2" ht="12">
      <c r="A2" s="5" t="s">
        <v>97</v>
      </c>
    </row>
    <row r="3" ht="12">
      <c r="I3" s="15" t="s">
        <v>83</v>
      </c>
    </row>
    <row r="4" spans="1:9" ht="12.75" thickBot="1">
      <c r="A4" s="5" t="s">
        <v>0</v>
      </c>
      <c r="I4" s="15" t="s">
        <v>84</v>
      </c>
    </row>
    <row r="5" spans="1:9" ht="16.5" thickTop="1">
      <c r="A5" s="3" t="s">
        <v>1</v>
      </c>
      <c r="B5" s="16">
        <v>0.5</v>
      </c>
      <c r="C5" t="s">
        <v>27</v>
      </c>
      <c r="D5" s="1" t="s">
        <v>2</v>
      </c>
      <c r="I5" s="15" t="s">
        <v>85</v>
      </c>
    </row>
    <row r="6" spans="1:9" ht="15.75">
      <c r="A6" s="3" t="s">
        <v>3</v>
      </c>
      <c r="B6" s="17">
        <v>0.5</v>
      </c>
      <c r="C6" t="s">
        <v>27</v>
      </c>
      <c r="D6" s="1" t="s">
        <v>4</v>
      </c>
      <c r="I6" s="15" t="s">
        <v>86</v>
      </c>
    </row>
    <row r="7" spans="1:9" ht="15.75">
      <c r="A7" s="3" t="s">
        <v>7</v>
      </c>
      <c r="B7" s="17">
        <v>0.225</v>
      </c>
      <c r="C7" t="s">
        <v>27</v>
      </c>
      <c r="D7" s="1" t="s">
        <v>8</v>
      </c>
      <c r="I7" s="15" t="s">
        <v>87</v>
      </c>
    </row>
    <row r="8" spans="1:4" ht="15.75">
      <c r="A8" s="3" t="s">
        <v>9</v>
      </c>
      <c r="B8" s="17">
        <v>0.225</v>
      </c>
      <c r="C8" t="s">
        <v>27</v>
      </c>
      <c r="D8" s="1" t="s">
        <v>10</v>
      </c>
    </row>
    <row r="9" spans="1:4" ht="15.75">
      <c r="A9" s="3" t="s">
        <v>11</v>
      </c>
      <c r="B9" s="17">
        <v>30</v>
      </c>
      <c r="C9" t="s">
        <v>28</v>
      </c>
      <c r="D9" s="1" t="s">
        <v>12</v>
      </c>
    </row>
    <row r="10" spans="1:4" ht="15.75">
      <c r="A10" s="3" t="s">
        <v>13</v>
      </c>
      <c r="B10" s="17">
        <v>500</v>
      </c>
      <c r="C10" t="s">
        <v>28</v>
      </c>
      <c r="D10" s="1" t="s">
        <v>14</v>
      </c>
    </row>
    <row r="11" spans="1:4" ht="15.75">
      <c r="A11" s="4" t="s">
        <v>15</v>
      </c>
      <c r="B11" s="40">
        <v>0.9867</v>
      </c>
      <c r="C11" t="s">
        <v>29</v>
      </c>
      <c r="D11" s="1" t="s">
        <v>16</v>
      </c>
    </row>
    <row r="12" spans="1:4" ht="15.75">
      <c r="A12" s="4" t="s">
        <v>17</v>
      </c>
      <c r="B12" s="17">
        <v>1.5</v>
      </c>
      <c r="D12" s="1" t="s">
        <v>18</v>
      </c>
    </row>
    <row r="13" spans="1:4" ht="15.75">
      <c r="A13" s="4" t="s">
        <v>19</v>
      </c>
      <c r="B13" s="17">
        <v>1.15</v>
      </c>
      <c r="D13" s="1" t="s">
        <v>20</v>
      </c>
    </row>
    <row r="14" spans="1:4" ht="15.75">
      <c r="A14" s="3" t="s">
        <v>21</v>
      </c>
      <c r="B14" s="18">
        <f>0.001*10000*B7</f>
        <v>2.25</v>
      </c>
      <c r="C14" t="s">
        <v>30</v>
      </c>
      <c r="D14" s="1" t="str">
        <f>"section des armatures de flexion // Ox sur une largeur c2 + 6d = "&amp;B6+6*B24&amp;" m"</f>
        <v>section des armatures de flexion // Ox sur une largeur c2 + 6d = 1,85 m</v>
      </c>
    </row>
    <row r="15" spans="1:4" ht="16.5" thickBot="1">
      <c r="A15" s="3" t="s">
        <v>22</v>
      </c>
      <c r="B15" s="19">
        <f>B14</f>
        <v>2.25</v>
      </c>
      <c r="C15" t="s">
        <v>30</v>
      </c>
      <c r="D15" s="1" t="str">
        <f>"section des armatures de flexion // Oy sur une largeur c1 + 6d = "&amp;B5+6*B24&amp;" m"</f>
        <v>section des armatures de flexion // Oy sur une largeur c1 + 6d = 1,85 m</v>
      </c>
    </row>
    <row r="16" ht="12.75" thickTop="1"/>
    <row r="17" ht="12">
      <c r="A17" s="5" t="s">
        <v>88</v>
      </c>
    </row>
    <row r="18" spans="1:4" ht="14.25">
      <c r="A18" s="2" t="s">
        <v>53</v>
      </c>
      <c r="B18" s="20">
        <f>B14/B22</f>
        <v>1.2162162162162162</v>
      </c>
      <c r="C18" t="s">
        <v>40</v>
      </c>
      <c r="D18" s="1" t="s">
        <v>55</v>
      </c>
    </row>
    <row r="19" spans="1:4" ht="14.25">
      <c r="A19" s="2" t="s">
        <v>54</v>
      </c>
      <c r="B19" s="31">
        <f>B15/B23</f>
        <v>1.2162162162162162</v>
      </c>
      <c r="C19" t="s">
        <v>40</v>
      </c>
      <c r="D19" s="1" t="s">
        <v>56</v>
      </c>
    </row>
    <row r="20" spans="1:4" ht="15.75">
      <c r="A20" s="28" t="s">
        <v>23</v>
      </c>
      <c r="B20" s="29" t="s">
        <v>63</v>
      </c>
      <c r="C20" s="29"/>
      <c r="D20" s="30"/>
    </row>
    <row r="21" spans="1:4" ht="15.75">
      <c r="A21" s="28" t="s">
        <v>24</v>
      </c>
      <c r="B21" s="30" t="s">
        <v>25</v>
      </c>
      <c r="C21" s="29"/>
      <c r="D21" s="29"/>
    </row>
    <row r="22" spans="1:4" ht="13.5">
      <c r="A22" s="2" t="s">
        <v>94</v>
      </c>
      <c r="B22" s="32">
        <f>B6+6*B24</f>
        <v>1.85</v>
      </c>
      <c r="C22" t="s">
        <v>27</v>
      </c>
      <c r="D22" s="1" t="s">
        <v>69</v>
      </c>
    </row>
    <row r="23" spans="1:4" ht="13.5">
      <c r="A23" s="2" t="s">
        <v>95</v>
      </c>
      <c r="B23" s="22">
        <f>B5+6*B24</f>
        <v>1.85</v>
      </c>
      <c r="C23" t="s">
        <v>27</v>
      </c>
      <c r="D23" s="1" t="s">
        <v>69</v>
      </c>
    </row>
    <row r="24" spans="1:4" ht="15.75">
      <c r="A24" s="3" t="s">
        <v>5</v>
      </c>
      <c r="B24" s="22">
        <f>0.5*(B7+B8)</f>
        <v>0.225</v>
      </c>
      <c r="C24" t="s">
        <v>27</v>
      </c>
      <c r="D24" s="1" t="s">
        <v>6</v>
      </c>
    </row>
    <row r="25" spans="1:4" ht="13.5">
      <c r="A25" s="2" t="s">
        <v>26</v>
      </c>
      <c r="B25" s="22">
        <f>2*(B5+B6)</f>
        <v>2</v>
      </c>
      <c r="C25" t="s">
        <v>27</v>
      </c>
      <c r="D25" s="1" t="s">
        <v>64</v>
      </c>
    </row>
    <row r="26" spans="1:4" ht="13.5">
      <c r="A26" s="2" t="s">
        <v>31</v>
      </c>
      <c r="B26" s="23">
        <f>B25+4*PI()*B24</f>
        <v>4.827433388230814</v>
      </c>
      <c r="C26" t="s">
        <v>27</v>
      </c>
      <c r="D26" s="1" t="s">
        <v>65</v>
      </c>
    </row>
    <row r="27" spans="1:4" ht="13.5">
      <c r="A27" s="2" t="s">
        <v>32</v>
      </c>
      <c r="B27" s="23">
        <f>B11/B24/B25</f>
        <v>2.1926666666666668</v>
      </c>
      <c r="C27" t="s">
        <v>28</v>
      </c>
      <c r="D27" s="1" t="s">
        <v>66</v>
      </c>
    </row>
    <row r="28" spans="1:4" ht="13.5">
      <c r="A28" s="2" t="s">
        <v>33</v>
      </c>
      <c r="B28" s="23">
        <f>B11/B26/B24</f>
        <v>0.9084192324693052</v>
      </c>
      <c r="C28" t="s">
        <v>28</v>
      </c>
      <c r="D28" s="1" t="s">
        <v>67</v>
      </c>
    </row>
    <row r="29" spans="1:4" ht="12.75">
      <c r="A29" s="2" t="s">
        <v>34</v>
      </c>
      <c r="B29" s="23">
        <f>MIN(2,1+SQRT(0.2/B24))</f>
        <v>1.9428090415820634</v>
      </c>
      <c r="D29" s="1" t="s">
        <v>68</v>
      </c>
    </row>
    <row r="30" spans="1:4" ht="13.5">
      <c r="A30" s="2" t="s">
        <v>35</v>
      </c>
      <c r="B30" s="23">
        <f>fvRdc(B18,B19,B24,B9,B12)</f>
        <v>0.5191272729553932</v>
      </c>
      <c r="C30" t="s">
        <v>28</v>
      </c>
      <c r="D30" s="1" t="s">
        <v>68</v>
      </c>
    </row>
    <row r="31" spans="1:4" ht="12.75">
      <c r="A31" s="7" t="s">
        <v>36</v>
      </c>
      <c r="B31" s="22">
        <f>0.6*(1-B9/250)</f>
        <v>0.528</v>
      </c>
      <c r="D31" s="1" t="s">
        <v>72</v>
      </c>
    </row>
    <row r="32" spans="1:5" ht="13.5">
      <c r="A32" s="2" t="s">
        <v>37</v>
      </c>
      <c r="B32" s="39">
        <f>0.4*B31*B9/B12</f>
        <v>4.224000000000001</v>
      </c>
      <c r="C32" s="13" t="s">
        <v>28</v>
      </c>
      <c r="D32" s="1" t="s">
        <v>70</v>
      </c>
      <c r="E32" s="14" t="s">
        <v>71</v>
      </c>
    </row>
    <row r="34" spans="1:2" ht="12">
      <c r="A34" s="5" t="s">
        <v>89</v>
      </c>
      <c r="B34" s="8"/>
    </row>
    <row r="35" spans="1:8" ht="13.5">
      <c r="A35" s="42" t="s">
        <v>98</v>
      </c>
      <c r="B35" s="43">
        <f>B27</f>
        <v>2.1926666666666668</v>
      </c>
      <c r="C35" s="44" t="str">
        <f>IF(B35&gt;B29,"&gt;","&lt;")</f>
        <v>&gt;</v>
      </c>
      <c r="D35" s="44" t="s">
        <v>99</v>
      </c>
      <c r="E35" s="45" t="str">
        <f>ROUND(B32,3)&amp;" MPa"</f>
        <v>4,224 MPa</v>
      </c>
      <c r="F35" s="46" t="str">
        <f>IF(B27&lt;B32,"OK","KO")</f>
        <v>OK</v>
      </c>
      <c r="G35" s="33"/>
      <c r="H35" s="33"/>
    </row>
    <row r="36" spans="1:8" ht="13.5">
      <c r="A36" s="47" t="s">
        <v>43</v>
      </c>
      <c r="B36" s="48">
        <f>B28</f>
        <v>0.9084192324693052</v>
      </c>
      <c r="C36" s="49" t="str">
        <f>IF(B36&gt;B30,"&gt;","&lt;")</f>
        <v>&gt;</v>
      </c>
      <c r="D36" s="49" t="s">
        <v>42</v>
      </c>
      <c r="E36" s="50" t="str">
        <f>ROUND(B30,3)&amp;" MPa"</f>
        <v>0,519 MPa</v>
      </c>
      <c r="F36" s="51" t="str">
        <f>IF(B28&lt;B30,"OK","KO")</f>
        <v>KO</v>
      </c>
      <c r="G36" s="33"/>
      <c r="H36" s="33"/>
    </row>
    <row r="37" spans="1:8" ht="12">
      <c r="A37" s="34"/>
      <c r="B37" s="35"/>
      <c r="C37" s="36"/>
      <c r="D37" s="36"/>
      <c r="E37" s="37"/>
      <c r="F37" s="33"/>
      <c r="G37" s="33"/>
      <c r="H37" s="33"/>
    </row>
    <row r="38" ht="12">
      <c r="A38" s="5" t="s">
        <v>101</v>
      </c>
    </row>
    <row r="39" spans="1:5" ht="13.5">
      <c r="A39" s="2" t="s">
        <v>38</v>
      </c>
      <c r="B39" s="32">
        <f>IF(B28&lt;B30,"",MIN(250*(1+B24),B10/B13))</f>
        <v>306.25</v>
      </c>
      <c r="C39" t="s">
        <v>28</v>
      </c>
      <c r="D39" s="1" t="s">
        <v>73</v>
      </c>
      <c r="E39" t="s">
        <v>93</v>
      </c>
    </row>
    <row r="40" spans="1:5" ht="14.25">
      <c r="A40" s="2" t="s">
        <v>39</v>
      </c>
      <c r="B40" s="21">
        <f>IF(B28&lt;B30,"",fAswsr(B36,B26,B30,B39))</f>
        <v>54.547898463755665</v>
      </c>
      <c r="C40" t="s">
        <v>40</v>
      </c>
      <c r="E40" t="s">
        <v>74</v>
      </c>
    </row>
    <row r="41" spans="1:5" ht="13.5">
      <c r="A41" s="2" t="s">
        <v>44</v>
      </c>
      <c r="B41" s="24">
        <f>IF(B28&lt;B30,"",B11/2/PI()/B24/B30-1.5*B24)</f>
        <v>1.0069631277648758</v>
      </c>
      <c r="C41" t="s">
        <v>27</v>
      </c>
      <c r="E41" t="s">
        <v>75</v>
      </c>
    </row>
    <row r="43" ht="12">
      <c r="A43" s="5" t="s">
        <v>102</v>
      </c>
    </row>
    <row r="44" spans="1:5" ht="13.5">
      <c r="A44" s="7" t="s">
        <v>41</v>
      </c>
      <c r="B44" s="25">
        <f>IF(B27&lt;B32,"",Zdel(B5,B6,B24,B11,B18,B19,B9,B12))</f>
      </c>
      <c r="C44" t="s">
        <v>27</v>
      </c>
      <c r="E44" t="s">
        <v>76</v>
      </c>
    </row>
    <row r="45" spans="1:5" ht="13.5">
      <c r="A45" s="2" t="s">
        <v>45</v>
      </c>
      <c r="B45" s="26">
        <f>IF(B27&lt;B32,"",Zr(B5,B6,B24,B11,B18,B19,B9,B12))</f>
      </c>
      <c r="C45" t="s">
        <v>27</v>
      </c>
      <c r="E45" t="s">
        <v>77</v>
      </c>
    </row>
    <row r="46" spans="1:5" ht="13.5">
      <c r="A46" s="2" t="s">
        <v>41</v>
      </c>
      <c r="B46" s="23">
        <f>IF(B27&lt;B32,"",B24+B45)</f>
      </c>
      <c r="C46" t="s">
        <v>27</v>
      </c>
      <c r="E46" t="s">
        <v>79</v>
      </c>
    </row>
    <row r="47" spans="1:5" ht="13.5">
      <c r="A47" s="2" t="s">
        <v>57</v>
      </c>
      <c r="B47" s="23">
        <f>IF(B27&lt;B32,"",fvRdc(B18,B19,B46,B9,B12))</f>
      </c>
      <c r="C47" t="s">
        <v>28</v>
      </c>
      <c r="E47" t="s">
        <v>80</v>
      </c>
    </row>
    <row r="48" spans="1:5" ht="13.5">
      <c r="A48" s="2" t="s">
        <v>90</v>
      </c>
      <c r="B48" s="24">
        <f>IF(B27&lt;B32,"",frcont(B5,B6,B24,B44))</f>
      </c>
      <c r="C48" t="s">
        <v>27</v>
      </c>
      <c r="E48" t="s">
        <v>78</v>
      </c>
    </row>
    <row r="49" spans="1:5" ht="12">
      <c r="A49" s="2" t="s">
        <v>58</v>
      </c>
      <c r="B49" s="9">
        <f>IF(B27&lt;B32,"",INT((B5+2*B44)*100+1)/100&amp;" m x "&amp;INT((B6+2*B44)*100+1)/100&amp;" m x "&amp;INT(B45*100+1)/100&amp;" m de retombée")</f>
      </c>
      <c r="C49" s="10"/>
      <c r="D49" s="10"/>
      <c r="E49" s="11"/>
    </row>
    <row r="51" spans="1:8" ht="12">
      <c r="A51" s="5" t="s">
        <v>103</v>
      </c>
      <c r="H51" s="6"/>
    </row>
    <row r="52" spans="1:12" ht="13.5">
      <c r="A52" s="7" t="s">
        <v>46</v>
      </c>
      <c r="B52" s="38">
        <f>IF(B27&lt;B32,"",0.125*(B11/B24/B32-B25))</f>
      </c>
      <c r="C52" t="s">
        <v>27</v>
      </c>
      <c r="E52" t="s">
        <v>76</v>
      </c>
      <c r="I52" s="6"/>
      <c r="J52" s="6"/>
      <c r="K52" s="6"/>
      <c r="L52" s="6"/>
    </row>
    <row r="53" spans="1:5" ht="13.5">
      <c r="A53" s="2" t="s">
        <v>47</v>
      </c>
      <c r="B53" s="27">
        <f>IF(B27&lt;B32,"",B11/B25/B32-B24)</f>
      </c>
      <c r="C53" t="s">
        <v>27</v>
      </c>
      <c r="E53" t="s">
        <v>77</v>
      </c>
    </row>
    <row r="54" spans="1:5" ht="13.5">
      <c r="A54" s="2" t="s">
        <v>46</v>
      </c>
      <c r="B54" s="27">
        <f>IF(B27&lt;B32,"",B53+B24)</f>
      </c>
      <c r="C54" t="s">
        <v>27</v>
      </c>
      <c r="E54" t="s">
        <v>79</v>
      </c>
    </row>
    <row r="55" spans="1:5" ht="13.5">
      <c r="A55" s="2" t="s">
        <v>51</v>
      </c>
      <c r="B55" s="23">
        <f>IF(B27&lt;B32,"",frcont(B5,B6,B24,B52))</f>
      </c>
      <c r="C55" t="s">
        <v>27</v>
      </c>
      <c r="E55" t="s">
        <v>78</v>
      </c>
    </row>
    <row r="56" spans="1:5" ht="13.5">
      <c r="A56" s="2" t="s">
        <v>52</v>
      </c>
      <c r="B56" s="23">
        <f>IF(B27&lt;B32,"",2*PI()*B55)</f>
      </c>
      <c r="C56" t="s">
        <v>27</v>
      </c>
      <c r="E56" t="s">
        <v>81</v>
      </c>
    </row>
    <row r="57" spans="1:5" ht="13.5">
      <c r="A57" s="2" t="s">
        <v>50</v>
      </c>
      <c r="B57" s="23">
        <f>IF(B27&lt;B32,"",B11/B24/B56)</f>
      </c>
      <c r="C57" t="s">
        <v>28</v>
      </c>
      <c r="E57" t="s">
        <v>82</v>
      </c>
    </row>
    <row r="58" spans="1:5" ht="13.5">
      <c r="A58" s="2" t="s">
        <v>91</v>
      </c>
      <c r="B58" s="24">
        <f>IF(B27&lt;B32,"",fvRdc(B18,B19,B54,B9,B12))</f>
      </c>
      <c r="C58" t="s">
        <v>28</v>
      </c>
      <c r="E58" t="s">
        <v>92</v>
      </c>
    </row>
    <row r="59" spans="1:6" ht="12">
      <c r="A59" s="2" t="s">
        <v>58</v>
      </c>
      <c r="B59" s="12">
        <f>IF(B27&lt;B32,"",INT((B5+2*B52)*100+1)/100&amp;" m x "&amp;INT((B6+2*B52)*100+1)/100&amp;" m x "&amp;INT(B53*100+1)/100&amp;" m de retombée")</f>
      </c>
      <c r="C59" s="10"/>
      <c r="D59" s="10"/>
      <c r="E59" s="11"/>
      <c r="F59">
        <f>IF(B57&gt;B58,"+ armatures dans la dalle, voir fiche d","")</f>
      </c>
    </row>
    <row r="61" ht="12">
      <c r="A61" s="5" t="s">
        <v>104</v>
      </c>
    </row>
    <row r="62" spans="1:5" ht="13.5">
      <c r="A62" s="2" t="s">
        <v>96</v>
      </c>
      <c r="B62" s="25">
        <f>IF(B27&lt;B32,"",B11/B24/B30)</f>
      </c>
      <c r="C62" t="s">
        <v>27</v>
      </c>
      <c r="E62" t="s">
        <v>81</v>
      </c>
    </row>
    <row r="63" spans="1:5" ht="13.5">
      <c r="A63" s="2" t="s">
        <v>38</v>
      </c>
      <c r="B63" s="41">
        <f>IF(B27&lt;B32,"",MIN(250*(1+B24),B10/B13))</f>
      </c>
      <c r="C63" t="s">
        <v>28</v>
      </c>
      <c r="E63" t="s">
        <v>93</v>
      </c>
    </row>
    <row r="64" spans="1:5" ht="14.25">
      <c r="A64" s="2" t="s">
        <v>48</v>
      </c>
      <c r="B64" s="21">
        <f>IF(B27&lt;B32,"",(B36-0.75*B30)*B26/1.5/B63*10000)</f>
      </c>
      <c r="C64" t="s">
        <v>40</v>
      </c>
      <c r="E64" t="s">
        <v>74</v>
      </c>
    </row>
    <row r="65" spans="1:5" ht="13.5">
      <c r="A65" s="2" t="s">
        <v>49</v>
      </c>
      <c r="B65" s="24">
        <f>IF(B27&lt;B32,"",B62/2/PI()-1.5*B24)</f>
      </c>
      <c r="C65" t="s">
        <v>27</v>
      </c>
      <c r="E65" t="s">
        <v>75</v>
      </c>
    </row>
    <row r="67" ht="12">
      <c r="A67" s="5" t="s">
        <v>105</v>
      </c>
    </row>
    <row r="68" spans="1:5" ht="13.5">
      <c r="A68" s="7" t="s">
        <v>59</v>
      </c>
      <c r="B68" s="25">
        <f>IF(B27&lt;B32,"",Zdel(B5,B6,B24,B11,B18,B19,B9,B12))</f>
      </c>
      <c r="C68" t="s">
        <v>27</v>
      </c>
      <c r="E68" t="s">
        <v>76</v>
      </c>
    </row>
    <row r="69" spans="1:5" ht="13.5">
      <c r="A69" s="2" t="s">
        <v>60</v>
      </c>
      <c r="B69" s="23">
        <f>IF(B27&lt;B32,"",Zr(B5,B6,B24,B11,B18,B19,B9,B12))</f>
      </c>
      <c r="C69" t="s">
        <v>27</v>
      </c>
      <c r="E69" t="s">
        <v>77</v>
      </c>
    </row>
    <row r="70" spans="1:5" ht="13.5">
      <c r="A70" s="2" t="s">
        <v>59</v>
      </c>
      <c r="B70" s="23">
        <f>IF(B27&lt;B32,"",B69+B24)</f>
      </c>
      <c r="C70" t="s">
        <v>27</v>
      </c>
      <c r="E70" t="s">
        <v>79</v>
      </c>
    </row>
    <row r="71" spans="1:5" ht="13.5">
      <c r="A71" s="2" t="s">
        <v>61</v>
      </c>
      <c r="B71" s="23">
        <f>IF(B27&lt;B32,"",frcont(B5,B6,B24,B68))</f>
      </c>
      <c r="C71" t="s">
        <v>27</v>
      </c>
      <c r="E71" t="s">
        <v>78</v>
      </c>
    </row>
    <row r="72" spans="1:5" ht="13.5">
      <c r="A72" s="2" t="s">
        <v>62</v>
      </c>
      <c r="B72" s="26">
        <f>IF(B27&lt;B32,"",fvRdc(B18,B19,B70,B9,B12))</f>
      </c>
      <c r="C72" t="s">
        <v>28</v>
      </c>
      <c r="E72" t="s">
        <v>80</v>
      </c>
    </row>
    <row r="73" spans="1:5" ht="12">
      <c r="A73" s="2" t="s">
        <v>58</v>
      </c>
      <c r="B73" s="9">
        <f>IF(B27&lt;B32,"",INT((B5+2*B68)*100+1)/100&amp;" m x "&amp;INT((B6+2*B68)*100+1)/100&amp;" m x "&amp;INT(B69*100+1)/100&amp;" m de retombée")</f>
      </c>
      <c r="C73" s="10"/>
      <c r="D73" s="10"/>
      <c r="E73" s="11"/>
    </row>
  </sheetData>
  <sheetProtection password="DE57" sheet="1" objects="1" scenarios="1" selectLockedCells="1"/>
  <mergeCells count="1">
    <mergeCell ref="B1:I1"/>
  </mergeCells>
  <conditionalFormatting sqref="B27">
    <cfRule type="cellIs" priority="1" dxfId="0" operator="greaterThan" stopIfTrue="1">
      <formula>$B$32</formula>
    </cfRule>
  </conditionalFormatting>
  <conditionalFormatting sqref="B28">
    <cfRule type="cellIs" priority="2" dxfId="1" operator="greaterThan" stopIfTrue="1">
      <formula>$B$30</formula>
    </cfRule>
  </conditionalFormatting>
  <conditionalFormatting sqref="F35:F37">
    <cfRule type="cellIs" priority="3" dxfId="0" operator="equal" stopIfTrue="1">
      <formula>"KO"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H25:R33"/>
  <sheetViews>
    <sheetView showGridLines="0" workbookViewId="0" topLeftCell="A1">
      <selection activeCell="S36" sqref="S36"/>
    </sheetView>
  </sheetViews>
  <sheetFormatPr defaultColWidth="11.421875" defaultRowHeight="12"/>
  <sheetData>
    <row r="25" spans="8:18" ht="12"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8:18" ht="12">
      <c r="H26" s="29"/>
      <c r="I26" t="s">
        <v>100</v>
      </c>
      <c r="J26" s="29"/>
      <c r="K26" s="29"/>
      <c r="L26" s="29"/>
      <c r="M26" s="29"/>
      <c r="N26" s="29"/>
      <c r="O26" s="29"/>
      <c r="P26" s="29"/>
      <c r="Q26" s="29"/>
      <c r="R26" s="29"/>
    </row>
    <row r="27" spans="8:18" ht="12"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8:18" ht="12"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8:18" ht="12"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8:18" ht="12"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8:18" ht="12"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8:18" ht="12"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8:18" ht="12"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</sheetData>
  <sheetProtection password="DE57" sheet="1" objects="1" scenarios="1" selectLockedCells="1"/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mactho1</dc:creator>
  <cp:keywords/>
  <dc:description/>
  <cp:lastModifiedBy>Henry</cp:lastModifiedBy>
  <cp:lastPrinted>2011-08-18T13:04:40Z</cp:lastPrinted>
  <dcterms:created xsi:type="dcterms:W3CDTF">2011-08-17T11:18:08Z</dcterms:created>
  <dcterms:modified xsi:type="dcterms:W3CDTF">2021-10-07T10:48:38Z</dcterms:modified>
  <cp:category/>
  <cp:version/>
  <cp:contentType/>
  <cp:contentStatus/>
</cp:coreProperties>
</file>