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770" activeTab="0"/>
  </bookViews>
  <sheets>
    <sheet name="Feuil1" sheetId="1" r:id="rId1"/>
  </sheets>
  <definedNames>
    <definedName name="dec">'Feuil1'!$Y$12</definedName>
    <definedName name="eso">'Feuil1'!$T$23</definedName>
    <definedName name="_xlnm.Print_Area" localSheetId="0">'Feuil1'!$A$1:$P$199</definedName>
  </definedNames>
  <calcPr calcMode="manual" fullCalcOnLoad="1"/>
</workbook>
</file>

<file path=xl/comments1.xml><?xml version="1.0" encoding="utf-8"?>
<comments xmlns="http://schemas.openxmlformats.org/spreadsheetml/2006/main">
  <authors>
    <author>mactho1</author>
  </authors>
  <commentList>
    <comment ref="B19" authorId="0">
      <text>
        <r>
          <rPr>
            <b/>
            <sz val="9"/>
            <rFont val="Tahoma"/>
            <family val="0"/>
          </rPr>
          <t>en général : 1,1</t>
        </r>
      </text>
    </comment>
    <comment ref="C76" authorId="0">
      <text>
        <r>
          <rPr>
            <b/>
            <sz val="9"/>
            <rFont val="Tahoma"/>
            <family val="0"/>
          </rPr>
          <t>maxi = pondérés par les coefficients
mini = non pondérés</t>
        </r>
        <r>
          <rPr>
            <sz val="9"/>
            <rFont val="Tahoma"/>
            <family val="0"/>
          </rPr>
          <t xml:space="preserve">
</t>
        </r>
      </text>
    </comment>
    <comment ref="M74" authorId="0">
      <text>
        <r>
          <rPr>
            <b/>
            <sz val="9"/>
            <rFont val="Tahoma"/>
            <family val="2"/>
          </rPr>
          <t>L</t>
        </r>
        <r>
          <rPr>
            <b/>
            <vertAlign val="subscript"/>
            <sz val="9"/>
            <rFont val="Tahoma"/>
            <family val="2"/>
          </rPr>
          <t>c</t>
        </r>
        <r>
          <rPr>
            <b/>
            <sz val="9"/>
            <rFont val="Tahoma"/>
            <family val="0"/>
          </rPr>
          <t xml:space="preserve"> = longueur de contact semelle-sol</t>
        </r>
      </text>
    </comment>
    <comment ref="L74" authorId="0">
      <text>
        <r>
          <rPr>
            <b/>
            <sz val="9"/>
            <rFont val="Tahoma"/>
            <family val="0"/>
          </rPr>
          <t xml:space="preserve">0,75 </t>
        </r>
        <r>
          <rPr>
            <b/>
            <sz val="9"/>
            <rFont val="Symbol"/>
            <family val="1"/>
          </rPr>
          <t>s</t>
        </r>
        <r>
          <rPr>
            <b/>
            <vertAlign val="subscript"/>
            <sz val="9"/>
            <rFont val="Tahoma"/>
            <family val="2"/>
          </rPr>
          <t>max</t>
        </r>
        <r>
          <rPr>
            <b/>
            <sz val="9"/>
            <rFont val="Tahoma"/>
            <family val="0"/>
          </rPr>
          <t xml:space="preserve"> + 0,25 </t>
        </r>
        <r>
          <rPr>
            <b/>
            <sz val="9"/>
            <rFont val="Symbol"/>
            <family val="1"/>
          </rPr>
          <t>s</t>
        </r>
        <r>
          <rPr>
            <b/>
            <vertAlign val="subscript"/>
            <sz val="9"/>
            <rFont val="Tahoma"/>
            <family val="2"/>
          </rPr>
          <t>min</t>
        </r>
        <r>
          <rPr>
            <sz val="9"/>
            <rFont val="Tahoma"/>
            <family val="0"/>
          </rPr>
          <t xml:space="preserve">
</t>
        </r>
      </text>
    </comment>
    <comment ref="Z97" authorId="0">
      <text>
        <r>
          <rPr>
            <b/>
            <sz val="9"/>
            <rFont val="Tahoma"/>
            <family val="2"/>
          </rPr>
          <t>L</t>
        </r>
        <r>
          <rPr>
            <b/>
            <vertAlign val="subscript"/>
            <sz val="9"/>
            <rFont val="Tahoma"/>
            <family val="2"/>
          </rPr>
          <t>c</t>
        </r>
        <r>
          <rPr>
            <b/>
            <sz val="9"/>
            <rFont val="Tahoma"/>
            <family val="0"/>
          </rPr>
          <t xml:space="preserve"> = longueur de contact semelle-sol</t>
        </r>
      </text>
    </comment>
    <comment ref="Z87" authorId="0">
      <text>
        <r>
          <rPr>
            <b/>
            <sz val="9"/>
            <rFont val="Tahoma"/>
            <family val="2"/>
          </rPr>
          <t>L</t>
        </r>
        <r>
          <rPr>
            <b/>
            <vertAlign val="subscript"/>
            <sz val="9"/>
            <rFont val="Tahoma"/>
            <family val="2"/>
          </rPr>
          <t>c</t>
        </r>
        <r>
          <rPr>
            <b/>
            <sz val="9"/>
            <rFont val="Tahoma"/>
            <family val="0"/>
          </rPr>
          <t xml:space="preserve"> = longueur de contact semelle-sol</t>
        </r>
      </text>
    </comment>
  </commentList>
</comments>
</file>

<file path=xl/sharedStrings.xml><?xml version="1.0" encoding="utf-8"?>
<sst xmlns="http://schemas.openxmlformats.org/spreadsheetml/2006/main" count="378" uniqueCount="207">
  <si>
    <t>N1</t>
  </si>
  <si>
    <t>N2</t>
  </si>
  <si>
    <t>N3</t>
  </si>
  <si>
    <t>N4</t>
  </si>
  <si>
    <t>N5</t>
  </si>
  <si>
    <t>Q</t>
  </si>
  <si>
    <t>b</t>
  </si>
  <si>
    <t>h</t>
  </si>
  <si>
    <t>P</t>
  </si>
  <si>
    <t>total</t>
  </si>
  <si>
    <t>r</t>
  </si>
  <si>
    <t>dist./A</t>
  </si>
  <si>
    <r>
      <t>g</t>
    </r>
    <r>
      <rPr>
        <vertAlign val="subscript"/>
        <sz val="9"/>
        <rFont val="Arial"/>
        <family val="2"/>
      </rPr>
      <t>q</t>
    </r>
  </si>
  <si>
    <t>terre</t>
  </si>
  <si>
    <t>charge</t>
  </si>
  <si>
    <r>
      <t>kN/m</t>
    </r>
    <r>
      <rPr>
        <vertAlign val="superscript"/>
        <sz val="9"/>
        <rFont val="Arial"/>
        <family val="2"/>
      </rPr>
      <t>2</t>
    </r>
  </si>
  <si>
    <t>F</t>
  </si>
  <si>
    <r>
      <t>F</t>
    </r>
    <r>
      <rPr>
        <vertAlign val="subscript"/>
        <sz val="9"/>
        <rFont val="Arial"/>
        <family val="2"/>
      </rPr>
      <t>Ed</t>
    </r>
  </si>
  <si>
    <r>
      <t>M</t>
    </r>
    <r>
      <rPr>
        <vertAlign val="subscript"/>
        <sz val="9"/>
        <rFont val="Arial"/>
        <family val="2"/>
      </rPr>
      <t>Ed</t>
    </r>
  </si>
  <si>
    <t>nature</t>
  </si>
  <si>
    <t>formule</t>
  </si>
  <si>
    <t>kN</t>
  </si>
  <si>
    <t>m</t>
  </si>
  <si>
    <t>kNm</t>
  </si>
  <si>
    <t>p</t>
  </si>
  <si>
    <t>Sollicitations horizontales de poussée</t>
  </si>
  <si>
    <t>Sollicitations verticales de poids</t>
  </si>
  <si>
    <r>
      <t>g</t>
    </r>
    <r>
      <rPr>
        <vertAlign val="subscript"/>
        <sz val="9"/>
        <rFont val="Arial"/>
        <family val="2"/>
      </rPr>
      <t>g</t>
    </r>
  </si>
  <si>
    <t>Glissement</t>
  </si>
  <si>
    <t>Sollicitations horizontales de butée</t>
  </si>
  <si>
    <t>haut</t>
  </si>
  <si>
    <t>bas</t>
  </si>
  <si>
    <r>
      <t>g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.F</t>
    </r>
  </si>
  <si>
    <r>
      <t>g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.P</t>
    </r>
  </si>
  <si>
    <r>
      <t>M</t>
    </r>
    <r>
      <rPr>
        <vertAlign val="subscript"/>
        <sz val="9"/>
        <rFont val="Arial"/>
        <family val="2"/>
      </rPr>
      <t>A</t>
    </r>
  </si>
  <si>
    <r>
      <t>g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.M</t>
    </r>
    <r>
      <rPr>
        <vertAlign val="subscript"/>
        <sz val="9"/>
        <rFont val="Arial"/>
        <family val="2"/>
      </rPr>
      <t>A</t>
    </r>
  </si>
  <si>
    <t>cote</t>
  </si>
  <si>
    <r>
      <t>kN/m</t>
    </r>
    <r>
      <rPr>
        <vertAlign val="superscript"/>
        <sz val="9"/>
        <rFont val="Arial"/>
        <family val="2"/>
      </rPr>
      <t>3</t>
    </r>
  </si>
  <si>
    <t>Charges permanentes seules</t>
  </si>
  <si>
    <t>angle de frottement interne</t>
  </si>
  <si>
    <r>
      <t>K</t>
    </r>
    <r>
      <rPr>
        <vertAlign val="subscript"/>
        <sz val="9"/>
        <rFont val="Arial"/>
        <family val="2"/>
      </rPr>
      <t>a</t>
    </r>
    <r>
      <rPr>
        <sz val="9"/>
        <rFont val="Arial"/>
        <family val="0"/>
      </rPr>
      <t>.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.H</t>
    </r>
  </si>
  <si>
    <r>
      <t>K</t>
    </r>
    <r>
      <rPr>
        <vertAlign val="subscript"/>
        <sz val="9"/>
        <rFont val="Arial"/>
        <family val="2"/>
      </rPr>
      <t>a</t>
    </r>
    <r>
      <rPr>
        <sz val="9"/>
        <rFont val="Arial"/>
        <family val="0"/>
      </rPr>
      <t>.q</t>
    </r>
  </si>
  <si>
    <r>
      <t>L</t>
    </r>
    <r>
      <rPr>
        <vertAlign val="subscript"/>
        <sz val="9"/>
        <rFont val="Arial"/>
        <family val="2"/>
      </rPr>
      <t>1</t>
    </r>
  </si>
  <si>
    <r>
      <t>L</t>
    </r>
    <r>
      <rPr>
        <vertAlign val="subscript"/>
        <sz val="9"/>
        <rFont val="Arial"/>
        <family val="2"/>
      </rPr>
      <t>2</t>
    </r>
  </si>
  <si>
    <r>
      <t>L</t>
    </r>
    <r>
      <rPr>
        <vertAlign val="subscript"/>
        <sz val="9"/>
        <rFont val="Arial"/>
        <family val="2"/>
      </rPr>
      <t>3</t>
    </r>
  </si>
  <si>
    <r>
      <t>h</t>
    </r>
    <r>
      <rPr>
        <vertAlign val="subscript"/>
        <sz val="9"/>
        <rFont val="Arial"/>
        <family val="2"/>
      </rPr>
      <t>1</t>
    </r>
  </si>
  <si>
    <r>
      <t>h</t>
    </r>
    <r>
      <rPr>
        <vertAlign val="subscript"/>
        <sz val="9"/>
        <rFont val="Arial"/>
        <family val="2"/>
      </rPr>
      <t>2</t>
    </r>
  </si>
  <si>
    <r>
      <t>h</t>
    </r>
    <r>
      <rPr>
        <vertAlign val="subscript"/>
        <sz val="9"/>
        <rFont val="Arial"/>
        <family val="2"/>
      </rPr>
      <t>3</t>
    </r>
  </si>
  <si>
    <r>
      <t>h</t>
    </r>
    <r>
      <rPr>
        <vertAlign val="subscript"/>
        <sz val="9"/>
        <rFont val="Arial"/>
        <family val="2"/>
      </rPr>
      <t>4</t>
    </r>
  </si>
  <si>
    <r>
      <t>h</t>
    </r>
    <r>
      <rPr>
        <vertAlign val="subscript"/>
        <sz val="9"/>
        <rFont val="Arial"/>
        <family val="2"/>
      </rPr>
      <t>5</t>
    </r>
  </si>
  <si>
    <t>L</t>
  </si>
  <si>
    <t>H</t>
  </si>
  <si>
    <r>
      <t>g</t>
    </r>
    <r>
      <rPr>
        <vertAlign val="subscript"/>
        <sz val="9"/>
        <rFont val="Arial"/>
        <family val="2"/>
      </rPr>
      <t>h</t>
    </r>
  </si>
  <si>
    <t>q</t>
  </si>
  <si>
    <r>
      <t>kN/m</t>
    </r>
    <r>
      <rPr>
        <vertAlign val="superscript"/>
        <sz val="9"/>
        <rFont val="Arial"/>
        <family val="2"/>
      </rPr>
      <t>3</t>
    </r>
  </si>
  <si>
    <t>j</t>
  </si>
  <si>
    <t>°</t>
  </si>
  <si>
    <t>rd</t>
  </si>
  <si>
    <r>
      <t>(Poussée-Butée)</t>
    </r>
    <r>
      <rPr>
        <vertAlign val="subscript"/>
        <sz val="9"/>
        <rFont val="Arial"/>
        <family val="2"/>
      </rPr>
      <t>pondéré</t>
    </r>
  </si>
  <si>
    <t>poussée pondérée P</t>
  </si>
  <si>
    <t>butée pondérée B</t>
  </si>
  <si>
    <r>
      <t>poids non pondéré N</t>
    </r>
    <r>
      <rPr>
        <vertAlign val="subscript"/>
        <sz val="9"/>
        <rFont val="Arial"/>
        <family val="2"/>
      </rPr>
      <t>Ed</t>
    </r>
  </si>
  <si>
    <t>pour q =</t>
  </si>
  <si>
    <r>
      <t>g</t>
    </r>
    <r>
      <rPr>
        <vertAlign val="subscript"/>
        <sz val="9"/>
        <rFont val="Arial"/>
        <family val="2"/>
      </rPr>
      <t>R,h</t>
    </r>
  </si>
  <si>
    <r>
      <t>kN/m</t>
    </r>
    <r>
      <rPr>
        <vertAlign val="superscript"/>
        <sz val="9"/>
        <rFont val="Arial"/>
        <family val="2"/>
      </rPr>
      <t>2</t>
    </r>
  </si>
  <si>
    <t>&lt; 1 ?</t>
  </si>
  <si>
    <t>Données</t>
  </si>
  <si>
    <r>
      <t>K</t>
    </r>
    <r>
      <rPr>
        <vertAlign val="subscript"/>
        <sz val="9"/>
        <rFont val="Arial"/>
        <family val="2"/>
      </rPr>
      <t>a</t>
    </r>
  </si>
  <si>
    <t>coefficient de poussée</t>
  </si>
  <si>
    <t>longueur semelle avant</t>
  </si>
  <si>
    <t>longueur semelle arrière</t>
  </si>
  <si>
    <t>épaisseur semelle avant</t>
  </si>
  <si>
    <t>hauteur de terre aval</t>
  </si>
  <si>
    <t>épaisseur semelle arrière</t>
  </si>
  <si>
    <t>hauteur de terre amont</t>
  </si>
  <si>
    <t>poids volumique du sol</t>
  </si>
  <si>
    <t>d°</t>
  </si>
  <si>
    <t>poids volumique du béton</t>
  </si>
  <si>
    <t>charge sur la surface de terrain amont</t>
  </si>
  <si>
    <t>coeff. major. des charges permanentes</t>
  </si>
  <si>
    <t>coeff. major. des charges variables</t>
  </si>
  <si>
    <t>coefficient de sécurité au glissement</t>
  </si>
  <si>
    <t>longueur de la semelle</t>
  </si>
  <si>
    <t>hauteur visible du mur côté aval</t>
  </si>
  <si>
    <t>hauteur totale du mur</t>
  </si>
  <si>
    <t>Résultats</t>
  </si>
  <si>
    <t>poussée</t>
  </si>
  <si>
    <t>poids</t>
  </si>
  <si>
    <t>maxi</t>
  </si>
  <si>
    <t>mini</t>
  </si>
  <si>
    <t>N</t>
  </si>
  <si>
    <r>
      <t>s</t>
    </r>
    <r>
      <rPr>
        <vertAlign val="subscript"/>
        <sz val="9"/>
        <rFont val="Arial"/>
        <family val="2"/>
      </rPr>
      <t>1</t>
    </r>
  </si>
  <si>
    <r>
      <t>s</t>
    </r>
    <r>
      <rPr>
        <vertAlign val="subscript"/>
        <sz val="9"/>
        <rFont val="Arial"/>
        <family val="2"/>
      </rPr>
      <t>2</t>
    </r>
  </si>
  <si>
    <r>
      <t>L</t>
    </r>
    <r>
      <rPr>
        <vertAlign val="subscript"/>
        <sz val="9"/>
        <rFont val="Arial"/>
        <family val="2"/>
      </rPr>
      <t>c</t>
    </r>
  </si>
  <si>
    <r>
      <t>s</t>
    </r>
  </si>
  <si>
    <r>
      <t>e</t>
    </r>
    <r>
      <rPr>
        <vertAlign val="subscript"/>
        <sz val="9"/>
        <rFont val="Arial"/>
        <family val="2"/>
      </rPr>
      <t>A</t>
    </r>
  </si>
  <si>
    <t>&lt;1/6 ?</t>
  </si>
  <si>
    <t>MPa</t>
  </si>
  <si>
    <r>
      <t>s</t>
    </r>
    <r>
      <rPr>
        <vertAlign val="subscript"/>
        <sz val="9"/>
        <rFont val="Arial"/>
        <family val="2"/>
      </rPr>
      <t>pondé</t>
    </r>
  </si>
  <si>
    <t xml:space="preserve">  selon Meyerhof</t>
  </si>
  <si>
    <t>Contraintes maxi  ELU</t>
  </si>
  <si>
    <r>
      <t>s</t>
    </r>
    <r>
      <rPr>
        <vertAlign val="subscript"/>
        <sz val="9"/>
        <rFont val="Arial"/>
        <family val="2"/>
      </rPr>
      <t>max</t>
    </r>
  </si>
  <si>
    <r>
      <t>s</t>
    </r>
    <r>
      <rPr>
        <vertAlign val="subscript"/>
        <sz val="9"/>
        <rFont val="Arial"/>
        <family val="2"/>
      </rPr>
      <t>max,pond</t>
    </r>
  </si>
  <si>
    <t>Poids</t>
  </si>
  <si>
    <t>Moments dus à</t>
  </si>
  <si>
    <t xml:space="preserve">  Excentricités</t>
  </si>
  <si>
    <t>Contraintes selon Navier</t>
  </si>
  <si>
    <t>kPa</t>
  </si>
  <si>
    <t>Glissement :</t>
  </si>
  <si>
    <t xml:space="preserve">Contrainte maxi : </t>
  </si>
  <si>
    <t>Etude du fût</t>
  </si>
  <si>
    <r>
      <t>h</t>
    </r>
    <r>
      <rPr>
        <vertAlign val="subscript"/>
        <sz val="9"/>
        <rFont val="Arial"/>
        <family val="2"/>
      </rPr>
      <t>6</t>
    </r>
  </si>
  <si>
    <t>L'auteur n'est</t>
  </si>
  <si>
    <t>pas responsable</t>
  </si>
  <si>
    <t>de l'usage fait</t>
  </si>
  <si>
    <t>de ce programme</t>
  </si>
  <si>
    <t>H. Thonier</t>
  </si>
  <si>
    <t>c</t>
  </si>
  <si>
    <t>mm</t>
  </si>
  <si>
    <t>enrobage à l'axe des armatures</t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</si>
  <si>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</si>
  <si>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yk</t>
    </r>
  </si>
  <si>
    <t>résistance du béton</t>
  </si>
  <si>
    <t>limite élastique des aciers</t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</si>
  <si>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</si>
  <si>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</si>
  <si>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cd</t>
    </r>
  </si>
  <si>
    <r>
      <t>f</t>
    </r>
    <r>
      <rPr>
        <vertAlign val="subscript"/>
        <sz val="9"/>
        <rFont val="Arial"/>
        <family val="2"/>
      </rPr>
      <t>yd</t>
    </r>
  </si>
  <si>
    <t>d</t>
  </si>
  <si>
    <t>&lt; 0,37 ?</t>
  </si>
  <si>
    <t>x</t>
  </si>
  <si>
    <r>
      <t>= 3,5(1-</t>
    </r>
    <r>
      <rPr>
        <sz val="9"/>
        <rFont val="Symbol"/>
        <family val="1"/>
      </rPr>
      <t>x</t>
    </r>
    <r>
      <rPr>
        <sz val="9"/>
        <rFont val="Arial"/>
        <family val="0"/>
      </rPr>
      <t>)/</t>
    </r>
    <r>
      <rPr>
        <sz val="9"/>
        <rFont val="Symbol"/>
        <family val="1"/>
      </rPr>
      <t>x</t>
    </r>
  </si>
  <si>
    <r>
      <t>e</t>
    </r>
    <r>
      <rPr>
        <vertAlign val="subscript"/>
        <sz val="9"/>
        <rFont val="Arial"/>
        <family val="2"/>
      </rPr>
      <t>s</t>
    </r>
  </si>
  <si>
    <r>
      <t>s</t>
    </r>
    <r>
      <rPr>
        <vertAlign val="subscript"/>
        <sz val="9"/>
        <rFont val="Arial"/>
        <family val="2"/>
      </rPr>
      <t>s</t>
    </r>
  </si>
  <si>
    <t>z</t>
  </si>
  <si>
    <r>
      <t>A</t>
    </r>
    <r>
      <rPr>
        <vertAlign val="subscript"/>
        <sz val="9"/>
        <rFont val="Arial"/>
        <family val="2"/>
      </rPr>
      <t>s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</si>
  <si>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</si>
  <si>
    <r>
      <t>=</t>
    </r>
    <r>
      <rPr>
        <sz val="9"/>
        <rFont val="Symbol"/>
        <family val="1"/>
      </rPr>
      <t xml:space="preserve"> g</t>
    </r>
    <r>
      <rPr>
        <vertAlign val="subscript"/>
        <sz val="9"/>
        <rFont val="Arial"/>
        <family val="2"/>
      </rPr>
      <t>G</t>
    </r>
    <r>
      <rPr>
        <sz val="9"/>
        <rFont val="Arial"/>
        <family val="0"/>
      </rPr>
      <t>.(K</t>
    </r>
    <r>
      <rPr>
        <vertAlign val="subscript"/>
        <sz val="9"/>
        <rFont val="Arial"/>
        <family val="2"/>
      </rPr>
      <t>a</t>
    </r>
    <r>
      <rPr>
        <sz val="9"/>
        <rFont val="Arial"/>
        <family val="0"/>
      </rPr>
      <t>.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6</t>
    </r>
    <r>
      <rPr>
        <sz val="9"/>
        <rFont val="Arial"/>
        <family val="0"/>
      </rPr>
      <t>).h</t>
    </r>
    <r>
      <rPr>
        <vertAlign val="subscript"/>
        <sz val="9"/>
        <rFont val="Arial"/>
        <family val="2"/>
      </rPr>
      <t>6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/6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.(K</t>
    </r>
    <r>
      <rPr>
        <vertAlign val="subscript"/>
        <sz val="9"/>
        <rFont val="Arial"/>
        <family val="2"/>
      </rPr>
      <t>a</t>
    </r>
    <r>
      <rPr>
        <sz val="9"/>
        <rFont val="Arial"/>
        <family val="0"/>
      </rPr>
      <t>.q).h</t>
    </r>
    <r>
      <rPr>
        <vertAlign val="subscript"/>
        <sz val="9"/>
        <rFont val="Arial"/>
        <family val="2"/>
      </rPr>
      <t>6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/2</t>
    </r>
  </si>
  <si>
    <r>
      <t xml:space="preserve">x </t>
    </r>
    <r>
      <rPr>
        <sz val="9"/>
        <rFont val="Arial"/>
        <family val="0"/>
      </rPr>
      <t>= x</t>
    </r>
    <r>
      <rPr>
        <vertAlign val="subscript"/>
        <sz val="9"/>
        <rFont val="Arial"/>
        <family val="2"/>
      </rPr>
      <t>u</t>
    </r>
    <r>
      <rPr>
        <sz val="9"/>
        <rFont val="Arial"/>
        <family val="0"/>
      </rPr>
      <t>/d=1,25[1-(1-2</t>
    </r>
    <r>
      <rPr>
        <sz val="9"/>
        <rFont val="Symbol"/>
        <family val="1"/>
      </rPr>
      <t>m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>]</t>
    </r>
  </si>
  <si>
    <t>Semelle arrière</t>
  </si>
  <si>
    <r>
      <t>portée = Min[h</t>
    </r>
    <r>
      <rPr>
        <vertAlign val="subscript"/>
        <sz val="9"/>
        <rFont val="Arial"/>
        <family val="2"/>
      </rPr>
      <t xml:space="preserve">4 </t>
    </r>
    <r>
      <rPr>
        <sz val="9"/>
        <rFont val="Arial"/>
        <family val="0"/>
      </rPr>
      <t>; H-h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]</t>
    </r>
  </si>
  <si>
    <r>
      <t>= h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 xml:space="preserve"> - c</t>
    </r>
  </si>
  <si>
    <r>
      <t>= d.(1-0,4</t>
    </r>
    <r>
      <rPr>
        <sz val="9"/>
        <rFont val="Symbol"/>
        <family val="1"/>
      </rPr>
      <t>x</t>
    </r>
    <r>
      <rPr>
        <sz val="9"/>
        <rFont val="Arial"/>
        <family val="0"/>
      </rPr>
      <t>)</t>
    </r>
  </si>
  <si>
    <t>diagramme bi-linéaire</t>
  </si>
  <si>
    <r>
      <t>= M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/(z.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)</t>
    </r>
  </si>
  <si>
    <t>Armatures fût :</t>
  </si>
  <si>
    <t>Armatures semelle arrière :</t>
  </si>
  <si>
    <r>
      <t xml:space="preserve">e </t>
    </r>
    <r>
      <rPr>
        <sz val="9"/>
        <rFont val="Arial"/>
        <family val="2"/>
      </rPr>
      <t>=e/L</t>
    </r>
  </si>
  <si>
    <t>semelles</t>
  </si>
  <si>
    <t>mur</t>
  </si>
  <si>
    <t>dec</t>
  </si>
  <si>
    <t>M</t>
  </si>
  <si>
    <t>cas</t>
  </si>
  <si>
    <r>
      <t>M</t>
    </r>
    <r>
      <rPr>
        <vertAlign val="subscript"/>
        <sz val="9"/>
        <rFont val="Arial"/>
        <family val="2"/>
      </rPr>
      <t>m</t>
    </r>
  </si>
  <si>
    <t>s</t>
  </si>
  <si>
    <t>semelle arrière</t>
  </si>
  <si>
    <t>semelle avant</t>
  </si>
  <si>
    <t>Semelle avant</t>
  </si>
  <si>
    <r>
      <t>= (N</t>
    </r>
    <r>
      <rPr>
        <vertAlign val="subscript"/>
        <sz val="9"/>
        <rFont val="Arial"/>
        <family val="2"/>
      </rPr>
      <t>4</t>
    </r>
    <r>
      <rPr>
        <sz val="9"/>
        <rFont val="Arial"/>
        <family val="0"/>
      </rPr>
      <t>+N</t>
    </r>
    <r>
      <rPr>
        <vertAlign val="subscript"/>
        <sz val="9"/>
        <rFont val="Arial"/>
        <family val="2"/>
      </rPr>
      <t>5</t>
    </r>
    <r>
      <rPr>
        <sz val="9"/>
        <rFont val="Arial"/>
        <family val="0"/>
      </rPr>
      <t>) .L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/2 = moment du poids des terres et semelle avant</t>
    </r>
  </si>
  <si>
    <r>
      <t>M</t>
    </r>
    <r>
      <rPr>
        <vertAlign val="subscript"/>
        <sz val="9"/>
        <rFont val="Arial"/>
        <family val="2"/>
      </rPr>
      <t>max</t>
    </r>
  </si>
  <si>
    <r>
      <t>L</t>
    </r>
    <r>
      <rPr>
        <vertAlign val="subscript"/>
        <sz val="9"/>
        <rFont val="Arial"/>
        <family val="2"/>
      </rPr>
      <t>0</t>
    </r>
  </si>
  <si>
    <r>
      <t>M</t>
    </r>
    <r>
      <rPr>
        <vertAlign val="subscript"/>
        <sz val="9"/>
        <rFont val="Arial"/>
        <family val="2"/>
      </rPr>
      <t>45</t>
    </r>
  </si>
  <si>
    <t>(signe + = armatures inférieures)</t>
  </si>
  <si>
    <t>Mpoids</t>
  </si>
  <si>
    <t>Mde contr</t>
  </si>
  <si>
    <t>arrondis</t>
  </si>
  <si>
    <t>&amp;N</t>
  </si>
  <si>
    <t>N4&amp;N5</t>
  </si>
  <si>
    <t>(signe - = armatures supérieures)</t>
  </si>
  <si>
    <r>
      <t>= M</t>
    </r>
    <r>
      <rPr>
        <vertAlign val="subscript"/>
        <sz val="9"/>
        <rFont val="Arial"/>
        <family val="2"/>
      </rPr>
      <t>m</t>
    </r>
    <r>
      <rPr>
        <sz val="9"/>
        <rFont val="Arial"/>
        <family val="0"/>
      </rPr>
      <t xml:space="preserve"> - M</t>
    </r>
    <r>
      <rPr>
        <vertAlign val="subscript"/>
        <sz val="9"/>
        <rFont val="Arial"/>
        <family val="2"/>
      </rPr>
      <t>45</t>
    </r>
  </si>
  <si>
    <t>Armatures semelle avant :</t>
  </si>
  <si>
    <t>Cas de</t>
  </si>
  <si>
    <r>
      <t>M</t>
    </r>
    <r>
      <rPr>
        <vertAlign val="subscript"/>
        <sz val="9"/>
        <rFont val="Arial"/>
        <family val="2"/>
      </rPr>
      <t>12Q</t>
    </r>
  </si>
  <si>
    <r>
      <t>= (N</t>
    </r>
    <r>
      <rPr>
        <vertAlign val="subscript"/>
        <sz val="9"/>
        <rFont val="Arial"/>
        <family val="2"/>
      </rPr>
      <t xml:space="preserve">1 </t>
    </r>
    <r>
      <rPr>
        <sz val="9"/>
        <rFont val="Arial"/>
        <family val="0"/>
      </rPr>
      <t>+ 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+ q</t>
    </r>
    <r>
      <rPr>
        <sz val="9"/>
        <rFont val="Arial"/>
        <family val="0"/>
      </rPr>
      <t>).L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>/2 = moment du poids des terres et q</t>
    </r>
  </si>
  <si>
    <r>
      <t>= M</t>
    </r>
    <r>
      <rPr>
        <vertAlign val="subscript"/>
        <sz val="9"/>
        <rFont val="Arial"/>
        <family val="2"/>
      </rPr>
      <t>12Q</t>
    </r>
    <r>
      <rPr>
        <sz val="9"/>
        <rFont val="Arial"/>
        <family val="0"/>
      </rPr>
      <t xml:space="preserve"> - M</t>
    </r>
    <r>
      <rPr>
        <vertAlign val="subscript"/>
        <sz val="9"/>
        <rFont val="Arial"/>
        <family val="2"/>
      </rPr>
      <t>m</t>
    </r>
  </si>
  <si>
    <t>A</t>
  </si>
  <si>
    <t>classe</t>
  </si>
  <si>
    <t>classe acier A, B ou C</t>
  </si>
  <si>
    <t>k</t>
  </si>
  <si>
    <r>
      <t>e</t>
    </r>
    <r>
      <rPr>
        <vertAlign val="subscript"/>
        <sz val="9"/>
        <rFont val="Arial"/>
        <family val="2"/>
      </rPr>
      <t>uk</t>
    </r>
  </si>
  <si>
    <t>B</t>
  </si>
  <si>
    <t>C</t>
  </si>
  <si>
    <r>
      <t>e</t>
    </r>
    <r>
      <rPr>
        <vertAlign val="subscript"/>
        <sz val="9"/>
        <rFont val="Arial"/>
        <family val="2"/>
      </rPr>
      <t>s0</t>
    </r>
  </si>
  <si>
    <t xml:space="preserve">longueur chargée </t>
  </si>
  <si>
    <r>
      <t>L</t>
    </r>
    <r>
      <rPr>
        <vertAlign val="subscript"/>
        <sz val="9"/>
        <rFont val="Arial"/>
        <family val="2"/>
      </rPr>
      <t>a</t>
    </r>
  </si>
  <si>
    <r>
      <t>L</t>
    </r>
    <r>
      <rPr>
        <vertAlign val="subscript"/>
        <sz val="9"/>
        <rFont val="Arial"/>
        <family val="2"/>
      </rPr>
      <t>b</t>
    </r>
  </si>
  <si>
    <t>distance du milieu de la longueur chargée au nu du fût</t>
  </si>
  <si>
    <r>
      <t>= M</t>
    </r>
    <r>
      <rPr>
        <vertAlign val="subscript"/>
        <sz val="9"/>
        <rFont val="Arial"/>
        <family val="2"/>
      </rPr>
      <t xml:space="preserve">max </t>
    </r>
    <r>
      <rPr>
        <sz val="9"/>
        <rFont val="Arial"/>
        <family val="0"/>
      </rPr>
      <t xml:space="preserve">dû aux contraintes en sous-face  = </t>
    </r>
    <r>
      <rPr>
        <sz val="9"/>
        <rFont val="Symbol"/>
        <family val="1"/>
      </rPr>
      <t>s</t>
    </r>
    <r>
      <rPr>
        <sz val="9"/>
        <rFont val="Arial"/>
        <family val="0"/>
      </rPr>
      <t>.L</t>
    </r>
    <r>
      <rPr>
        <vertAlign val="subscript"/>
        <sz val="9"/>
        <rFont val="Arial"/>
        <family val="2"/>
      </rPr>
      <t>a.</t>
    </r>
    <r>
      <rPr>
        <sz val="9"/>
        <rFont val="Arial"/>
        <family val="0"/>
      </rPr>
      <t>L</t>
    </r>
    <r>
      <rPr>
        <vertAlign val="subscript"/>
        <sz val="9"/>
        <rFont val="Arial"/>
        <family val="2"/>
      </rPr>
      <t>b</t>
    </r>
  </si>
  <si>
    <r>
      <t>= 3,5(1-</t>
    </r>
    <r>
      <rPr>
        <sz val="9"/>
        <rFont val="Symbol"/>
        <family val="1"/>
      </rPr>
      <t>x</t>
    </r>
    <r>
      <rPr>
        <sz val="9"/>
        <rFont val="Arial"/>
        <family val="0"/>
      </rPr>
      <t>)/</t>
    </r>
    <r>
      <rPr>
        <sz val="9"/>
        <rFont val="Symbol"/>
        <family val="1"/>
      </rPr>
      <t>x</t>
    </r>
    <r>
      <rPr>
        <sz val="9"/>
        <rFont val="Arial"/>
        <family val="2"/>
      </rPr>
      <t xml:space="preserve"> </t>
    </r>
    <r>
      <rPr>
        <sz val="9"/>
        <rFont val="Symbol"/>
        <family val="1"/>
      </rPr>
      <t>£</t>
    </r>
    <r>
      <rPr>
        <sz val="9"/>
        <rFont val="Arial"/>
        <family val="2"/>
      </rPr>
      <t xml:space="preserve"> 0,9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uk</t>
    </r>
    <r>
      <rPr>
        <sz val="9"/>
        <rFont val="Arial"/>
        <family val="2"/>
      </rPr>
      <t xml:space="preserve"> ?</t>
    </r>
  </si>
  <si>
    <t xml:space="preserve">contrainte du sol Meyerhof </t>
  </si>
  <si>
    <t>épaisseur du fût</t>
  </si>
  <si>
    <t>121 - Mur de soutènement</t>
  </si>
  <si>
    <t>coefficient de poussée si imposé, sinon 0</t>
  </si>
  <si>
    <r>
      <t>frottement pondéré = N</t>
    </r>
    <r>
      <rPr>
        <vertAlign val="subscript"/>
        <sz val="9"/>
        <rFont val="Arial Narrow"/>
        <family val="2"/>
      </rPr>
      <t>Ed</t>
    </r>
    <r>
      <rPr>
        <sz val="9"/>
        <rFont val="Arial Narrow"/>
        <family val="2"/>
      </rPr>
      <t>.tan</t>
    </r>
    <r>
      <rPr>
        <sz val="9"/>
        <rFont val="Symbol"/>
        <family val="1"/>
      </rPr>
      <t>j</t>
    </r>
    <r>
      <rPr>
        <sz val="9"/>
        <rFont val="Arial Narrow"/>
        <family val="2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 Narrow"/>
        <family val="2"/>
      </rPr>
      <t>R,h</t>
    </r>
  </si>
  <si>
    <r>
      <t>coefficient de butée si imposé sur la hauteur h</t>
    </r>
    <r>
      <rPr>
        <vertAlign val="subscript"/>
        <sz val="9"/>
        <rFont val="Arial"/>
        <family val="2"/>
      </rPr>
      <t>1,</t>
    </r>
    <r>
      <rPr>
        <sz val="9"/>
        <rFont val="Arial"/>
        <family val="0"/>
      </rPr>
      <t xml:space="preserve"> sinon 0</t>
    </r>
  </si>
  <si>
    <r>
      <t>coefficient de butée si imposé sur la hauteur h</t>
    </r>
    <r>
      <rPr>
        <vertAlign val="subscript"/>
        <sz val="9"/>
        <rFont val="Arial"/>
        <family val="2"/>
      </rPr>
      <t>2,</t>
    </r>
    <r>
      <rPr>
        <sz val="9"/>
        <rFont val="Arial"/>
        <family val="0"/>
      </rPr>
      <t xml:space="preserve"> sinon 0</t>
    </r>
  </si>
  <si>
    <r>
      <t>K</t>
    </r>
    <r>
      <rPr>
        <vertAlign val="subscript"/>
        <sz val="9"/>
        <rFont val="Arial"/>
        <family val="2"/>
      </rPr>
      <t>p2</t>
    </r>
    <r>
      <rPr>
        <sz val="9"/>
        <rFont val="Arial"/>
        <family val="0"/>
      </rPr>
      <t>.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2</t>
    </r>
  </si>
  <si>
    <r>
      <t>K</t>
    </r>
    <r>
      <rPr>
        <vertAlign val="subscript"/>
        <sz val="9"/>
        <rFont val="Arial"/>
        <family val="2"/>
      </rPr>
      <t>p1</t>
    </r>
  </si>
  <si>
    <r>
      <t>K</t>
    </r>
    <r>
      <rPr>
        <vertAlign val="subscript"/>
        <sz val="9"/>
        <rFont val="Arial"/>
        <family val="2"/>
      </rPr>
      <t>p2</t>
    </r>
  </si>
  <si>
    <r>
      <t>K</t>
    </r>
    <r>
      <rPr>
        <vertAlign val="subscript"/>
        <sz val="9"/>
        <rFont val="Arial"/>
        <family val="2"/>
      </rPr>
      <t>a</t>
    </r>
    <r>
      <rPr>
        <sz val="9"/>
        <rFont val="Arial"/>
        <family val="0"/>
      </rPr>
      <t>.q</t>
    </r>
    <r>
      <rPr>
        <vertAlign val="subscript"/>
        <sz val="9"/>
        <rFont val="Arial"/>
        <family val="2"/>
      </rPr>
      <t>0</t>
    </r>
  </si>
  <si>
    <r>
      <t>q</t>
    </r>
    <r>
      <rPr>
        <vertAlign val="subscript"/>
        <sz val="9"/>
        <rFont val="Arial"/>
        <family val="2"/>
      </rPr>
      <t>0</t>
    </r>
  </si>
  <si>
    <r>
      <t xml:space="preserve">poids des terres =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2</t>
    </r>
  </si>
  <si>
    <r>
      <t>K</t>
    </r>
    <r>
      <rPr>
        <vertAlign val="subscript"/>
        <sz val="9"/>
        <rFont val="Arial"/>
        <family val="2"/>
      </rPr>
      <t>p1</t>
    </r>
    <r>
      <rPr>
        <sz val="9"/>
        <rFont val="Arial"/>
        <family val="0"/>
      </rPr>
      <t>.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1</t>
    </r>
  </si>
  <si>
    <r>
      <t>coefficient de butée sur hauteur h</t>
    </r>
    <r>
      <rPr>
        <vertAlign val="subscript"/>
        <sz val="9"/>
        <rFont val="Arial"/>
        <family val="2"/>
      </rPr>
      <t>1</t>
    </r>
  </si>
  <si>
    <r>
      <t>coefficient de butée sur hauteur h</t>
    </r>
    <r>
      <rPr>
        <vertAlign val="subscript"/>
        <sz val="9"/>
        <rFont val="Arial"/>
        <family val="2"/>
      </rPr>
      <t>2</t>
    </r>
  </si>
  <si>
    <t>dist. ver.</t>
  </si>
  <si>
    <t xml:space="preserve">Ce document est protégé par le droit d’auteur © Henry Thonier - EGF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</si>
</sst>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0.000"/>
    <numFmt numFmtId="167" formatCode="&quot;Vrai&quot;;&quot;Vrai&quot;;&quot;Faux&quot;"/>
    <numFmt numFmtId="168" formatCode="&quot;Actif&quot;;&quot;Actif&quot;;&quot;Inactif&quot;"/>
    <numFmt numFmtId="169" formatCode="0.0"/>
    <numFmt numFmtId="170" formatCode="0.000000"/>
    <numFmt numFmtId="171" formatCode="&quot;cas &quot;0"/>
  </numFmts>
  <fonts count="17">
    <font>
      <sz val="9"/>
      <name val="Arial"/>
      <family val="0"/>
    </font>
    <font>
      <sz val="9"/>
      <name val="Symbol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name val="Tahoma"/>
      <family val="0"/>
    </font>
    <font>
      <b/>
      <vertAlign val="subscript"/>
      <sz val="9"/>
      <name val="Tahoma"/>
      <family val="2"/>
    </font>
    <font>
      <sz val="9"/>
      <color indexed="10"/>
      <name val="Arial"/>
      <family val="0"/>
    </font>
    <font>
      <sz val="9"/>
      <name val="Tahoma"/>
      <family val="0"/>
    </font>
    <font>
      <b/>
      <sz val="9"/>
      <name val="Symbol"/>
      <family val="1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vertAlign val="subscript"/>
      <sz val="9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left"/>
    </xf>
    <xf numFmtId="16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Fill="1" applyBorder="1" applyAlignment="1">
      <alignment horizontal="center"/>
    </xf>
    <xf numFmtId="9" fontId="0" fillId="0" borderId="0" xfId="2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 quotePrefix="1">
      <alignment horizontal="center"/>
    </xf>
    <xf numFmtId="169" fontId="0" fillId="0" borderId="1" xfId="0" applyNumberFormat="1" applyFont="1" applyBorder="1" applyAlignment="1">
      <alignment horizontal="center"/>
    </xf>
    <xf numFmtId="169" fontId="0" fillId="0" borderId="1" xfId="0" applyNumberFormat="1" applyBorder="1" applyAlignment="1" quotePrefix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 horizontal="right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9" fontId="0" fillId="0" borderId="13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1" fontId="0" fillId="0" borderId="1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2" fontId="0" fillId="2" borderId="1" xfId="0" applyNumberFormat="1" applyFont="1" applyFill="1" applyBorder="1" applyAlignment="1">
      <alignment horizontal="center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Contraintes sol selon Meyerhof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485"/>
          <c:w val="0.83775"/>
          <c:h val="0.923"/>
        </c:manualLayout>
      </c:layout>
      <c:scatterChart>
        <c:scatterStyle val="line"/>
        <c:varyColors val="0"/>
        <c:ser>
          <c:idx val="0"/>
          <c:order val="0"/>
          <c:tx>
            <c:strRef>
              <c:f>Feuil1!$AS$71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Feuil1!$AR$72:$AR$120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1.9254467367129378</c:v>
                </c:pt>
                <c:pt idx="3">
                  <c:v>1.9254467367129378</c:v>
                </c:pt>
                <c:pt idx="5">
                  <c:v>0</c:v>
                </c:pt>
                <c:pt idx="6">
                  <c:v>0</c:v>
                </c:pt>
                <c:pt idx="7">
                  <c:v>2.255369788071682</c:v>
                </c:pt>
                <c:pt idx="8">
                  <c:v>2.255369788071682</c:v>
                </c:pt>
                <c:pt idx="10">
                  <c:v>0</c:v>
                </c:pt>
                <c:pt idx="11">
                  <c:v>0</c:v>
                </c:pt>
                <c:pt idx="12">
                  <c:v>1.4842244377463485</c:v>
                </c:pt>
                <c:pt idx="13">
                  <c:v>1.4842244377463485</c:v>
                </c:pt>
                <c:pt idx="15">
                  <c:v>0</c:v>
                </c:pt>
                <c:pt idx="16">
                  <c:v>0</c:v>
                </c:pt>
                <c:pt idx="17">
                  <c:v>1.9330628332946909</c:v>
                </c:pt>
                <c:pt idx="18">
                  <c:v>1.9330628332946909</c:v>
                </c:pt>
                <c:pt idx="20">
                  <c:v>0</c:v>
                </c:pt>
                <c:pt idx="21">
                  <c:v>0</c:v>
                </c:pt>
                <c:pt idx="22">
                  <c:v>2.0073012708696734</c:v>
                </c:pt>
                <c:pt idx="23">
                  <c:v>2.0073012708696734</c:v>
                </c:pt>
                <c:pt idx="25">
                  <c:v>0</c:v>
                </c:pt>
                <c:pt idx="26">
                  <c:v>0</c:v>
                </c:pt>
                <c:pt idx="27">
                  <c:v>2.282672979483346</c:v>
                </c:pt>
                <c:pt idx="28">
                  <c:v>2.282672979483346</c:v>
                </c:pt>
                <c:pt idx="30">
                  <c:v>0</c:v>
                </c:pt>
                <c:pt idx="31">
                  <c:v>0</c:v>
                </c:pt>
                <c:pt idx="32">
                  <c:v>1.635549464241216</c:v>
                </c:pt>
                <c:pt idx="33">
                  <c:v>1.635549464241216</c:v>
                </c:pt>
                <c:pt idx="35">
                  <c:v>0</c:v>
                </c:pt>
                <c:pt idx="36">
                  <c:v>0</c:v>
                </c:pt>
                <c:pt idx="37">
                  <c:v>2.0073012708696734</c:v>
                </c:pt>
                <c:pt idx="38">
                  <c:v>2.0073012708696734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Feuil1!$AS$72:$AS$120</c:f>
              <c:numCache>
                <c:ptCount val="49"/>
                <c:pt idx="0">
                  <c:v>0</c:v>
                </c:pt>
                <c:pt idx="1">
                  <c:v>91.4211214694554</c:v>
                </c:pt>
                <c:pt idx="2">
                  <c:v>91.4211214694554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Feuil1!$AT$71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Feuil1!$AR$72:$AR$120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1.9254467367129378</c:v>
                </c:pt>
                <c:pt idx="3">
                  <c:v>1.9254467367129378</c:v>
                </c:pt>
                <c:pt idx="5">
                  <c:v>0</c:v>
                </c:pt>
                <c:pt idx="6">
                  <c:v>0</c:v>
                </c:pt>
                <c:pt idx="7">
                  <c:v>2.255369788071682</c:v>
                </c:pt>
                <c:pt idx="8">
                  <c:v>2.255369788071682</c:v>
                </c:pt>
                <c:pt idx="10">
                  <c:v>0</c:v>
                </c:pt>
                <c:pt idx="11">
                  <c:v>0</c:v>
                </c:pt>
                <c:pt idx="12">
                  <c:v>1.4842244377463485</c:v>
                </c:pt>
                <c:pt idx="13">
                  <c:v>1.4842244377463485</c:v>
                </c:pt>
                <c:pt idx="15">
                  <c:v>0</c:v>
                </c:pt>
                <c:pt idx="16">
                  <c:v>0</c:v>
                </c:pt>
                <c:pt idx="17">
                  <c:v>1.9330628332946909</c:v>
                </c:pt>
                <c:pt idx="18">
                  <c:v>1.9330628332946909</c:v>
                </c:pt>
                <c:pt idx="20">
                  <c:v>0</c:v>
                </c:pt>
                <c:pt idx="21">
                  <c:v>0</c:v>
                </c:pt>
                <c:pt idx="22">
                  <c:v>2.0073012708696734</c:v>
                </c:pt>
                <c:pt idx="23">
                  <c:v>2.0073012708696734</c:v>
                </c:pt>
                <c:pt idx="25">
                  <c:v>0</c:v>
                </c:pt>
                <c:pt idx="26">
                  <c:v>0</c:v>
                </c:pt>
                <c:pt idx="27">
                  <c:v>2.282672979483346</c:v>
                </c:pt>
                <c:pt idx="28">
                  <c:v>2.282672979483346</c:v>
                </c:pt>
                <c:pt idx="30">
                  <c:v>0</c:v>
                </c:pt>
                <c:pt idx="31">
                  <c:v>0</c:v>
                </c:pt>
                <c:pt idx="32">
                  <c:v>1.635549464241216</c:v>
                </c:pt>
                <c:pt idx="33">
                  <c:v>1.635549464241216</c:v>
                </c:pt>
                <c:pt idx="35">
                  <c:v>0</c:v>
                </c:pt>
                <c:pt idx="36">
                  <c:v>0</c:v>
                </c:pt>
                <c:pt idx="37">
                  <c:v>2.0073012708696734</c:v>
                </c:pt>
                <c:pt idx="38">
                  <c:v>2.0073012708696734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Feuil1!$AT$72:$AT$120</c:f>
              <c:numCache>
                <c:ptCount val="49"/>
                <c:pt idx="5">
                  <c:v>0</c:v>
                </c:pt>
                <c:pt idx="6">
                  <c:v>78.04773342756393</c:v>
                </c:pt>
                <c:pt idx="7">
                  <c:v>78.04773342756393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Feuil1!$AU$71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Feuil1!$AR$72:$AR$120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1.9254467367129378</c:v>
                </c:pt>
                <c:pt idx="3">
                  <c:v>1.9254467367129378</c:v>
                </c:pt>
                <c:pt idx="5">
                  <c:v>0</c:v>
                </c:pt>
                <c:pt idx="6">
                  <c:v>0</c:v>
                </c:pt>
                <c:pt idx="7">
                  <c:v>2.255369788071682</c:v>
                </c:pt>
                <c:pt idx="8">
                  <c:v>2.255369788071682</c:v>
                </c:pt>
                <c:pt idx="10">
                  <c:v>0</c:v>
                </c:pt>
                <c:pt idx="11">
                  <c:v>0</c:v>
                </c:pt>
                <c:pt idx="12">
                  <c:v>1.4842244377463485</c:v>
                </c:pt>
                <c:pt idx="13">
                  <c:v>1.4842244377463485</c:v>
                </c:pt>
                <c:pt idx="15">
                  <c:v>0</c:v>
                </c:pt>
                <c:pt idx="16">
                  <c:v>0</c:v>
                </c:pt>
                <c:pt idx="17">
                  <c:v>1.9330628332946909</c:v>
                </c:pt>
                <c:pt idx="18">
                  <c:v>1.9330628332946909</c:v>
                </c:pt>
                <c:pt idx="20">
                  <c:v>0</c:v>
                </c:pt>
                <c:pt idx="21">
                  <c:v>0</c:v>
                </c:pt>
                <c:pt idx="22">
                  <c:v>2.0073012708696734</c:v>
                </c:pt>
                <c:pt idx="23">
                  <c:v>2.0073012708696734</c:v>
                </c:pt>
                <c:pt idx="25">
                  <c:v>0</c:v>
                </c:pt>
                <c:pt idx="26">
                  <c:v>0</c:v>
                </c:pt>
                <c:pt idx="27">
                  <c:v>2.282672979483346</c:v>
                </c:pt>
                <c:pt idx="28">
                  <c:v>2.282672979483346</c:v>
                </c:pt>
                <c:pt idx="30">
                  <c:v>0</c:v>
                </c:pt>
                <c:pt idx="31">
                  <c:v>0</c:v>
                </c:pt>
                <c:pt idx="32">
                  <c:v>1.635549464241216</c:v>
                </c:pt>
                <c:pt idx="33">
                  <c:v>1.635549464241216</c:v>
                </c:pt>
                <c:pt idx="35">
                  <c:v>0</c:v>
                </c:pt>
                <c:pt idx="36">
                  <c:v>0</c:v>
                </c:pt>
                <c:pt idx="37">
                  <c:v>2.0073012708696734</c:v>
                </c:pt>
                <c:pt idx="38">
                  <c:v>2.0073012708696734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Feuil1!$AU$72:$AU$120</c:f>
              <c:numCache>
                <c:ptCount val="49"/>
                <c:pt idx="10">
                  <c:v>0</c:v>
                </c:pt>
                <c:pt idx="11">
                  <c:v>87.17684247031144</c:v>
                </c:pt>
                <c:pt idx="12">
                  <c:v>87.17684247031144</c:v>
                </c:pt>
                <c:pt idx="1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Feuil1!$AV$71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Feuil1!$AR$72:$AR$120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1.9254467367129378</c:v>
                </c:pt>
                <c:pt idx="3">
                  <c:v>1.9254467367129378</c:v>
                </c:pt>
                <c:pt idx="5">
                  <c:v>0</c:v>
                </c:pt>
                <c:pt idx="6">
                  <c:v>0</c:v>
                </c:pt>
                <c:pt idx="7">
                  <c:v>2.255369788071682</c:v>
                </c:pt>
                <c:pt idx="8">
                  <c:v>2.255369788071682</c:v>
                </c:pt>
                <c:pt idx="10">
                  <c:v>0</c:v>
                </c:pt>
                <c:pt idx="11">
                  <c:v>0</c:v>
                </c:pt>
                <c:pt idx="12">
                  <c:v>1.4842244377463485</c:v>
                </c:pt>
                <c:pt idx="13">
                  <c:v>1.4842244377463485</c:v>
                </c:pt>
                <c:pt idx="15">
                  <c:v>0</c:v>
                </c:pt>
                <c:pt idx="16">
                  <c:v>0</c:v>
                </c:pt>
                <c:pt idx="17">
                  <c:v>1.9330628332946909</c:v>
                </c:pt>
                <c:pt idx="18">
                  <c:v>1.9330628332946909</c:v>
                </c:pt>
                <c:pt idx="20">
                  <c:v>0</c:v>
                </c:pt>
                <c:pt idx="21">
                  <c:v>0</c:v>
                </c:pt>
                <c:pt idx="22">
                  <c:v>2.0073012708696734</c:v>
                </c:pt>
                <c:pt idx="23">
                  <c:v>2.0073012708696734</c:v>
                </c:pt>
                <c:pt idx="25">
                  <c:v>0</c:v>
                </c:pt>
                <c:pt idx="26">
                  <c:v>0</c:v>
                </c:pt>
                <c:pt idx="27">
                  <c:v>2.282672979483346</c:v>
                </c:pt>
                <c:pt idx="28">
                  <c:v>2.282672979483346</c:v>
                </c:pt>
                <c:pt idx="30">
                  <c:v>0</c:v>
                </c:pt>
                <c:pt idx="31">
                  <c:v>0</c:v>
                </c:pt>
                <c:pt idx="32">
                  <c:v>1.635549464241216</c:v>
                </c:pt>
                <c:pt idx="33">
                  <c:v>1.635549464241216</c:v>
                </c:pt>
                <c:pt idx="35">
                  <c:v>0</c:v>
                </c:pt>
                <c:pt idx="36">
                  <c:v>0</c:v>
                </c:pt>
                <c:pt idx="37">
                  <c:v>2.0073012708696734</c:v>
                </c:pt>
                <c:pt idx="38">
                  <c:v>2.0073012708696734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Feuil1!$AV$72:$AV$120</c:f>
              <c:numCache>
                <c:ptCount val="49"/>
                <c:pt idx="15">
                  <c:v>0</c:v>
                </c:pt>
                <c:pt idx="16">
                  <c:v>66.93522723183763</c:v>
                </c:pt>
                <c:pt idx="17">
                  <c:v>66.93522723183763</c:v>
                </c:pt>
                <c:pt idx="1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Feuil1!$AW$71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Feuil1!$AR$72:$AR$120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1.9254467367129378</c:v>
                </c:pt>
                <c:pt idx="3">
                  <c:v>1.9254467367129378</c:v>
                </c:pt>
                <c:pt idx="5">
                  <c:v>0</c:v>
                </c:pt>
                <c:pt idx="6">
                  <c:v>0</c:v>
                </c:pt>
                <c:pt idx="7">
                  <c:v>2.255369788071682</c:v>
                </c:pt>
                <c:pt idx="8">
                  <c:v>2.255369788071682</c:v>
                </c:pt>
                <c:pt idx="10">
                  <c:v>0</c:v>
                </c:pt>
                <c:pt idx="11">
                  <c:v>0</c:v>
                </c:pt>
                <c:pt idx="12">
                  <c:v>1.4842244377463485</c:v>
                </c:pt>
                <c:pt idx="13">
                  <c:v>1.4842244377463485</c:v>
                </c:pt>
                <c:pt idx="15">
                  <c:v>0</c:v>
                </c:pt>
                <c:pt idx="16">
                  <c:v>0</c:v>
                </c:pt>
                <c:pt idx="17">
                  <c:v>1.9330628332946909</c:v>
                </c:pt>
                <c:pt idx="18">
                  <c:v>1.9330628332946909</c:v>
                </c:pt>
                <c:pt idx="20">
                  <c:v>0</c:v>
                </c:pt>
                <c:pt idx="21">
                  <c:v>0</c:v>
                </c:pt>
                <c:pt idx="22">
                  <c:v>2.0073012708696734</c:v>
                </c:pt>
                <c:pt idx="23">
                  <c:v>2.0073012708696734</c:v>
                </c:pt>
                <c:pt idx="25">
                  <c:v>0</c:v>
                </c:pt>
                <c:pt idx="26">
                  <c:v>0</c:v>
                </c:pt>
                <c:pt idx="27">
                  <c:v>2.282672979483346</c:v>
                </c:pt>
                <c:pt idx="28">
                  <c:v>2.282672979483346</c:v>
                </c:pt>
                <c:pt idx="30">
                  <c:v>0</c:v>
                </c:pt>
                <c:pt idx="31">
                  <c:v>0</c:v>
                </c:pt>
                <c:pt idx="32">
                  <c:v>1.635549464241216</c:v>
                </c:pt>
                <c:pt idx="33">
                  <c:v>1.635549464241216</c:v>
                </c:pt>
                <c:pt idx="35">
                  <c:v>0</c:v>
                </c:pt>
                <c:pt idx="36">
                  <c:v>0</c:v>
                </c:pt>
                <c:pt idx="37">
                  <c:v>2.0073012708696734</c:v>
                </c:pt>
                <c:pt idx="38">
                  <c:v>2.0073012708696734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Feuil1!$AW$72:$AW$120</c:f>
              <c:numCache>
                <c:ptCount val="49"/>
                <c:pt idx="20">
                  <c:v>0</c:v>
                </c:pt>
                <c:pt idx="21">
                  <c:v>80.96766656735318</c:v>
                </c:pt>
                <c:pt idx="22">
                  <c:v>80.96766656735318</c:v>
                </c:pt>
                <c:pt idx="2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Feuil1!$AX$71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Feuil1!$AR$72:$AR$120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1.9254467367129378</c:v>
                </c:pt>
                <c:pt idx="3">
                  <c:v>1.9254467367129378</c:v>
                </c:pt>
                <c:pt idx="5">
                  <c:v>0</c:v>
                </c:pt>
                <c:pt idx="6">
                  <c:v>0</c:v>
                </c:pt>
                <c:pt idx="7">
                  <c:v>2.255369788071682</c:v>
                </c:pt>
                <c:pt idx="8">
                  <c:v>2.255369788071682</c:v>
                </c:pt>
                <c:pt idx="10">
                  <c:v>0</c:v>
                </c:pt>
                <c:pt idx="11">
                  <c:v>0</c:v>
                </c:pt>
                <c:pt idx="12">
                  <c:v>1.4842244377463485</c:v>
                </c:pt>
                <c:pt idx="13">
                  <c:v>1.4842244377463485</c:v>
                </c:pt>
                <c:pt idx="15">
                  <c:v>0</c:v>
                </c:pt>
                <c:pt idx="16">
                  <c:v>0</c:v>
                </c:pt>
                <c:pt idx="17">
                  <c:v>1.9330628332946909</c:v>
                </c:pt>
                <c:pt idx="18">
                  <c:v>1.9330628332946909</c:v>
                </c:pt>
                <c:pt idx="20">
                  <c:v>0</c:v>
                </c:pt>
                <c:pt idx="21">
                  <c:v>0</c:v>
                </c:pt>
                <c:pt idx="22">
                  <c:v>2.0073012708696734</c:v>
                </c:pt>
                <c:pt idx="23">
                  <c:v>2.0073012708696734</c:v>
                </c:pt>
                <c:pt idx="25">
                  <c:v>0</c:v>
                </c:pt>
                <c:pt idx="26">
                  <c:v>0</c:v>
                </c:pt>
                <c:pt idx="27">
                  <c:v>2.282672979483346</c:v>
                </c:pt>
                <c:pt idx="28">
                  <c:v>2.282672979483346</c:v>
                </c:pt>
                <c:pt idx="30">
                  <c:v>0</c:v>
                </c:pt>
                <c:pt idx="31">
                  <c:v>0</c:v>
                </c:pt>
                <c:pt idx="32">
                  <c:v>1.635549464241216</c:v>
                </c:pt>
                <c:pt idx="33">
                  <c:v>1.635549464241216</c:v>
                </c:pt>
                <c:pt idx="35">
                  <c:v>0</c:v>
                </c:pt>
                <c:pt idx="36">
                  <c:v>0</c:v>
                </c:pt>
                <c:pt idx="37">
                  <c:v>2.0073012708696734</c:v>
                </c:pt>
                <c:pt idx="38">
                  <c:v>2.0073012708696734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Feuil1!$AX$72:$AX$120</c:f>
              <c:numCache>
                <c:ptCount val="49"/>
                <c:pt idx="25">
                  <c:v>0</c:v>
                </c:pt>
                <c:pt idx="26">
                  <c:v>71.20008054626635</c:v>
                </c:pt>
                <c:pt idx="27">
                  <c:v>71.20008054626635</c:v>
                </c:pt>
                <c:pt idx="2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Feuil1!$AY$71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Feuil1!$AR$72:$AR$120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1.9254467367129378</c:v>
                </c:pt>
                <c:pt idx="3">
                  <c:v>1.9254467367129378</c:v>
                </c:pt>
                <c:pt idx="5">
                  <c:v>0</c:v>
                </c:pt>
                <c:pt idx="6">
                  <c:v>0</c:v>
                </c:pt>
                <c:pt idx="7">
                  <c:v>2.255369788071682</c:v>
                </c:pt>
                <c:pt idx="8">
                  <c:v>2.255369788071682</c:v>
                </c:pt>
                <c:pt idx="10">
                  <c:v>0</c:v>
                </c:pt>
                <c:pt idx="11">
                  <c:v>0</c:v>
                </c:pt>
                <c:pt idx="12">
                  <c:v>1.4842244377463485</c:v>
                </c:pt>
                <c:pt idx="13">
                  <c:v>1.4842244377463485</c:v>
                </c:pt>
                <c:pt idx="15">
                  <c:v>0</c:v>
                </c:pt>
                <c:pt idx="16">
                  <c:v>0</c:v>
                </c:pt>
                <c:pt idx="17">
                  <c:v>1.9330628332946909</c:v>
                </c:pt>
                <c:pt idx="18">
                  <c:v>1.9330628332946909</c:v>
                </c:pt>
                <c:pt idx="20">
                  <c:v>0</c:v>
                </c:pt>
                <c:pt idx="21">
                  <c:v>0</c:v>
                </c:pt>
                <c:pt idx="22">
                  <c:v>2.0073012708696734</c:v>
                </c:pt>
                <c:pt idx="23">
                  <c:v>2.0073012708696734</c:v>
                </c:pt>
                <c:pt idx="25">
                  <c:v>0</c:v>
                </c:pt>
                <c:pt idx="26">
                  <c:v>0</c:v>
                </c:pt>
                <c:pt idx="27">
                  <c:v>2.282672979483346</c:v>
                </c:pt>
                <c:pt idx="28">
                  <c:v>2.282672979483346</c:v>
                </c:pt>
                <c:pt idx="30">
                  <c:v>0</c:v>
                </c:pt>
                <c:pt idx="31">
                  <c:v>0</c:v>
                </c:pt>
                <c:pt idx="32">
                  <c:v>1.635549464241216</c:v>
                </c:pt>
                <c:pt idx="33">
                  <c:v>1.635549464241216</c:v>
                </c:pt>
                <c:pt idx="35">
                  <c:v>0</c:v>
                </c:pt>
                <c:pt idx="36">
                  <c:v>0</c:v>
                </c:pt>
                <c:pt idx="37">
                  <c:v>2.0073012708696734</c:v>
                </c:pt>
                <c:pt idx="38">
                  <c:v>2.0073012708696734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Feuil1!$AY$72:$AY$120</c:f>
              <c:numCache>
                <c:ptCount val="49"/>
                <c:pt idx="30">
                  <c:v>0</c:v>
                </c:pt>
                <c:pt idx="31">
                  <c:v>73.60829044436927</c:v>
                </c:pt>
                <c:pt idx="32">
                  <c:v>73.60829044436927</c:v>
                </c:pt>
                <c:pt idx="33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Feuil1!$AZ$71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Feuil1!$AR$72:$AR$120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1.9254467367129378</c:v>
                </c:pt>
                <c:pt idx="3">
                  <c:v>1.9254467367129378</c:v>
                </c:pt>
                <c:pt idx="5">
                  <c:v>0</c:v>
                </c:pt>
                <c:pt idx="6">
                  <c:v>0</c:v>
                </c:pt>
                <c:pt idx="7">
                  <c:v>2.255369788071682</c:v>
                </c:pt>
                <c:pt idx="8">
                  <c:v>2.255369788071682</c:v>
                </c:pt>
                <c:pt idx="10">
                  <c:v>0</c:v>
                </c:pt>
                <c:pt idx="11">
                  <c:v>0</c:v>
                </c:pt>
                <c:pt idx="12">
                  <c:v>1.4842244377463485</c:v>
                </c:pt>
                <c:pt idx="13">
                  <c:v>1.4842244377463485</c:v>
                </c:pt>
                <c:pt idx="15">
                  <c:v>0</c:v>
                </c:pt>
                <c:pt idx="16">
                  <c:v>0</c:v>
                </c:pt>
                <c:pt idx="17">
                  <c:v>1.9330628332946909</c:v>
                </c:pt>
                <c:pt idx="18">
                  <c:v>1.9330628332946909</c:v>
                </c:pt>
                <c:pt idx="20">
                  <c:v>0</c:v>
                </c:pt>
                <c:pt idx="21">
                  <c:v>0</c:v>
                </c:pt>
                <c:pt idx="22">
                  <c:v>2.0073012708696734</c:v>
                </c:pt>
                <c:pt idx="23">
                  <c:v>2.0073012708696734</c:v>
                </c:pt>
                <c:pt idx="25">
                  <c:v>0</c:v>
                </c:pt>
                <c:pt idx="26">
                  <c:v>0</c:v>
                </c:pt>
                <c:pt idx="27">
                  <c:v>2.282672979483346</c:v>
                </c:pt>
                <c:pt idx="28">
                  <c:v>2.282672979483346</c:v>
                </c:pt>
                <c:pt idx="30">
                  <c:v>0</c:v>
                </c:pt>
                <c:pt idx="31">
                  <c:v>0</c:v>
                </c:pt>
                <c:pt idx="32">
                  <c:v>1.635549464241216</c:v>
                </c:pt>
                <c:pt idx="33">
                  <c:v>1.635549464241216</c:v>
                </c:pt>
                <c:pt idx="35">
                  <c:v>0</c:v>
                </c:pt>
                <c:pt idx="36">
                  <c:v>0</c:v>
                </c:pt>
                <c:pt idx="37">
                  <c:v>2.0073012708696734</c:v>
                </c:pt>
                <c:pt idx="38">
                  <c:v>2.0073012708696734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Feuil1!$AZ$72:$AZ$120</c:f>
              <c:numCache>
                <c:ptCount val="49"/>
                <c:pt idx="35">
                  <c:v>0</c:v>
                </c:pt>
                <c:pt idx="36">
                  <c:v>59.976049309150504</c:v>
                </c:pt>
                <c:pt idx="37">
                  <c:v>59.976049309150504</c:v>
                </c:pt>
                <c:pt idx="3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Feuil1!$BA$71</c:f>
              <c:strCache>
                <c:ptCount val="1"/>
                <c:pt idx="0">
                  <c:v>semelles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Feuil1!$AR$72:$AR$120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1.9254467367129378</c:v>
                </c:pt>
                <c:pt idx="3">
                  <c:v>1.9254467367129378</c:v>
                </c:pt>
                <c:pt idx="5">
                  <c:v>0</c:v>
                </c:pt>
                <c:pt idx="6">
                  <c:v>0</c:v>
                </c:pt>
                <c:pt idx="7">
                  <c:v>2.255369788071682</c:v>
                </c:pt>
                <c:pt idx="8">
                  <c:v>2.255369788071682</c:v>
                </c:pt>
                <c:pt idx="10">
                  <c:v>0</c:v>
                </c:pt>
                <c:pt idx="11">
                  <c:v>0</c:v>
                </c:pt>
                <c:pt idx="12">
                  <c:v>1.4842244377463485</c:v>
                </c:pt>
                <c:pt idx="13">
                  <c:v>1.4842244377463485</c:v>
                </c:pt>
                <c:pt idx="15">
                  <c:v>0</c:v>
                </c:pt>
                <c:pt idx="16">
                  <c:v>0</c:v>
                </c:pt>
                <c:pt idx="17">
                  <c:v>1.9330628332946909</c:v>
                </c:pt>
                <c:pt idx="18">
                  <c:v>1.9330628332946909</c:v>
                </c:pt>
                <c:pt idx="20">
                  <c:v>0</c:v>
                </c:pt>
                <c:pt idx="21">
                  <c:v>0</c:v>
                </c:pt>
                <c:pt idx="22">
                  <c:v>2.0073012708696734</c:v>
                </c:pt>
                <c:pt idx="23">
                  <c:v>2.0073012708696734</c:v>
                </c:pt>
                <c:pt idx="25">
                  <c:v>0</c:v>
                </c:pt>
                <c:pt idx="26">
                  <c:v>0</c:v>
                </c:pt>
                <c:pt idx="27">
                  <c:v>2.282672979483346</c:v>
                </c:pt>
                <c:pt idx="28">
                  <c:v>2.282672979483346</c:v>
                </c:pt>
                <c:pt idx="30">
                  <c:v>0</c:v>
                </c:pt>
                <c:pt idx="31">
                  <c:v>0</c:v>
                </c:pt>
                <c:pt idx="32">
                  <c:v>1.635549464241216</c:v>
                </c:pt>
                <c:pt idx="33">
                  <c:v>1.635549464241216</c:v>
                </c:pt>
                <c:pt idx="35">
                  <c:v>0</c:v>
                </c:pt>
                <c:pt idx="36">
                  <c:v>0</c:v>
                </c:pt>
                <c:pt idx="37">
                  <c:v>2.0073012708696734</c:v>
                </c:pt>
                <c:pt idx="38">
                  <c:v>2.0073012708696734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Feuil1!$BA$72:$BA$120</c:f>
              <c:numCache>
                <c:ptCount val="49"/>
                <c:pt idx="40">
                  <c:v>0</c:v>
                </c:pt>
                <c:pt idx="41">
                  <c:v>25</c:v>
                </c:pt>
                <c:pt idx="42">
                  <c:v>25</c:v>
                </c:pt>
                <c:pt idx="43">
                  <c:v>0</c:v>
                </c:pt>
                <c:pt idx="45">
                  <c:v>0</c:v>
                </c:pt>
                <c:pt idx="46">
                  <c:v>30</c:v>
                </c:pt>
                <c:pt idx="47">
                  <c:v>30</c:v>
                </c:pt>
                <c:pt idx="48">
                  <c:v>0</c:v>
                </c:pt>
              </c:numCache>
            </c:numRef>
          </c:yVal>
          <c:smooth val="0"/>
        </c:ser>
        <c:axId val="9622071"/>
        <c:axId val="19489776"/>
      </c:scatterChart>
      <c:valAx>
        <c:axId val="9622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489776"/>
        <c:crosses val="autoZero"/>
        <c:crossBetween val="midCat"/>
        <c:dispUnits/>
      </c:valAx>
      <c:valAx>
        <c:axId val="19489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20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Contraintes sol selon Navier (kPa)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6675"/>
          <c:w val="0.8345"/>
          <c:h val="0.9027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Feuil1!$AD$71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Feuil1!$AC$72:$AC$120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2.4</c:v>
                </c:pt>
                <c:pt idx="8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2.2263366566195226</c:v>
                </c:pt>
                <c:pt idx="13">
                  <c:v>2.2263366566195226</c:v>
                </c:pt>
                <c:pt idx="15">
                  <c:v>0</c:v>
                </c:pt>
                <c:pt idx="16">
                  <c:v>0</c:v>
                </c:pt>
                <c:pt idx="17">
                  <c:v>2.4</c:v>
                </c:pt>
                <c:pt idx="18">
                  <c:v>2.4</c:v>
                </c:pt>
                <c:pt idx="20">
                  <c:v>0</c:v>
                </c:pt>
                <c:pt idx="21">
                  <c:v>0</c:v>
                </c:pt>
                <c:pt idx="22">
                  <c:v>2.4</c:v>
                </c:pt>
                <c:pt idx="23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2.4</c:v>
                </c:pt>
                <c:pt idx="28">
                  <c:v>2.4</c:v>
                </c:pt>
                <c:pt idx="30">
                  <c:v>0</c:v>
                </c:pt>
                <c:pt idx="31">
                  <c:v>0</c:v>
                </c:pt>
                <c:pt idx="32">
                  <c:v>2.4</c:v>
                </c:pt>
                <c:pt idx="33">
                  <c:v>2.4</c:v>
                </c:pt>
                <c:pt idx="35">
                  <c:v>0</c:v>
                </c:pt>
                <c:pt idx="36">
                  <c:v>0</c:v>
                </c:pt>
                <c:pt idx="37">
                  <c:v>2.4</c:v>
                </c:pt>
                <c:pt idx="38">
                  <c:v>2.4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Feuil1!$AD$72:$AD$120</c:f>
              <c:numCache>
                <c:ptCount val="49"/>
                <c:pt idx="0">
                  <c:v>0</c:v>
                </c:pt>
                <c:pt idx="1">
                  <c:v>116.85164062500002</c:v>
                </c:pt>
                <c:pt idx="2">
                  <c:v>29.837109374999983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Feuil1!$AE$71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Feuil1!$AC$72:$AC$120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2.4</c:v>
                </c:pt>
                <c:pt idx="8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2.2263366566195226</c:v>
                </c:pt>
                <c:pt idx="13">
                  <c:v>2.2263366566195226</c:v>
                </c:pt>
                <c:pt idx="15">
                  <c:v>0</c:v>
                </c:pt>
                <c:pt idx="16">
                  <c:v>0</c:v>
                </c:pt>
                <c:pt idx="17">
                  <c:v>2.4</c:v>
                </c:pt>
                <c:pt idx="18">
                  <c:v>2.4</c:v>
                </c:pt>
                <c:pt idx="20">
                  <c:v>0</c:v>
                </c:pt>
                <c:pt idx="21">
                  <c:v>0</c:v>
                </c:pt>
                <c:pt idx="22">
                  <c:v>2.4</c:v>
                </c:pt>
                <c:pt idx="23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2.4</c:v>
                </c:pt>
                <c:pt idx="28">
                  <c:v>2.4</c:v>
                </c:pt>
                <c:pt idx="30">
                  <c:v>0</c:v>
                </c:pt>
                <c:pt idx="31">
                  <c:v>0</c:v>
                </c:pt>
                <c:pt idx="32">
                  <c:v>2.4</c:v>
                </c:pt>
                <c:pt idx="33">
                  <c:v>2.4</c:v>
                </c:pt>
                <c:pt idx="35">
                  <c:v>0</c:v>
                </c:pt>
                <c:pt idx="36">
                  <c:v>0</c:v>
                </c:pt>
                <c:pt idx="37">
                  <c:v>2.4</c:v>
                </c:pt>
                <c:pt idx="38">
                  <c:v>2.4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Feuil1!$AE$72:$AE$120</c:f>
              <c:numCache>
                <c:ptCount val="49"/>
                <c:pt idx="5">
                  <c:v>0</c:v>
                </c:pt>
                <c:pt idx="6">
                  <c:v>86.60414062500001</c:v>
                </c:pt>
                <c:pt idx="7">
                  <c:v>60.08460937499998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Feuil1!$AF$71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Feuil1!$AC$72:$AC$120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2.4</c:v>
                </c:pt>
                <c:pt idx="8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2.2263366566195226</c:v>
                </c:pt>
                <c:pt idx="13">
                  <c:v>2.2263366566195226</c:v>
                </c:pt>
                <c:pt idx="15">
                  <c:v>0</c:v>
                </c:pt>
                <c:pt idx="16">
                  <c:v>0</c:v>
                </c:pt>
                <c:pt idx="17">
                  <c:v>2.4</c:v>
                </c:pt>
                <c:pt idx="18">
                  <c:v>2.4</c:v>
                </c:pt>
                <c:pt idx="20">
                  <c:v>0</c:v>
                </c:pt>
                <c:pt idx="21">
                  <c:v>0</c:v>
                </c:pt>
                <c:pt idx="22">
                  <c:v>2.4</c:v>
                </c:pt>
                <c:pt idx="23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2.4</c:v>
                </c:pt>
                <c:pt idx="28">
                  <c:v>2.4</c:v>
                </c:pt>
                <c:pt idx="30">
                  <c:v>0</c:v>
                </c:pt>
                <c:pt idx="31">
                  <c:v>0</c:v>
                </c:pt>
                <c:pt idx="32">
                  <c:v>2.4</c:v>
                </c:pt>
                <c:pt idx="33">
                  <c:v>2.4</c:v>
                </c:pt>
                <c:pt idx="35">
                  <c:v>0</c:v>
                </c:pt>
                <c:pt idx="36">
                  <c:v>0</c:v>
                </c:pt>
                <c:pt idx="37">
                  <c:v>2.4</c:v>
                </c:pt>
                <c:pt idx="38">
                  <c:v>2.4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Feuil1!$AF$72:$AF$120</c:f>
              <c:numCache>
                <c:ptCount val="49"/>
                <c:pt idx="10">
                  <c:v>0</c:v>
                </c:pt>
                <c:pt idx="11">
                  <c:v>116.23578996041526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Feuil1!$AG$71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Feuil1!$AC$72:$AC$120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2.4</c:v>
                </c:pt>
                <c:pt idx="8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2.2263366566195226</c:v>
                </c:pt>
                <c:pt idx="13">
                  <c:v>2.2263366566195226</c:v>
                </c:pt>
                <c:pt idx="15">
                  <c:v>0</c:v>
                </c:pt>
                <c:pt idx="16">
                  <c:v>0</c:v>
                </c:pt>
                <c:pt idx="17">
                  <c:v>2.4</c:v>
                </c:pt>
                <c:pt idx="18">
                  <c:v>2.4</c:v>
                </c:pt>
                <c:pt idx="20">
                  <c:v>0</c:v>
                </c:pt>
                <c:pt idx="21">
                  <c:v>0</c:v>
                </c:pt>
                <c:pt idx="22">
                  <c:v>2.4</c:v>
                </c:pt>
                <c:pt idx="23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2.4</c:v>
                </c:pt>
                <c:pt idx="28">
                  <c:v>2.4</c:v>
                </c:pt>
                <c:pt idx="30">
                  <c:v>0</c:v>
                </c:pt>
                <c:pt idx="31">
                  <c:v>0</c:v>
                </c:pt>
                <c:pt idx="32">
                  <c:v>2.4</c:v>
                </c:pt>
                <c:pt idx="33">
                  <c:v>2.4</c:v>
                </c:pt>
                <c:pt idx="35">
                  <c:v>0</c:v>
                </c:pt>
                <c:pt idx="36">
                  <c:v>0</c:v>
                </c:pt>
                <c:pt idx="37">
                  <c:v>2.4</c:v>
                </c:pt>
                <c:pt idx="38">
                  <c:v>2.4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Feuil1!$AG$72:$AG$120</c:f>
              <c:numCache>
                <c:ptCount val="49"/>
                <c:pt idx="15">
                  <c:v>0</c:v>
                </c:pt>
                <c:pt idx="16">
                  <c:v>85.37968749999996</c:v>
                </c:pt>
                <c:pt idx="17">
                  <c:v>22.445312500000032</c:v>
                </c:pt>
                <c:pt idx="1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Feuil1!$AH$71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Feuil1!$AC$72:$AC$120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2.4</c:v>
                </c:pt>
                <c:pt idx="8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2.2263366566195226</c:v>
                </c:pt>
                <c:pt idx="13">
                  <c:v>2.2263366566195226</c:v>
                </c:pt>
                <c:pt idx="15">
                  <c:v>0</c:v>
                </c:pt>
                <c:pt idx="16">
                  <c:v>0</c:v>
                </c:pt>
                <c:pt idx="17">
                  <c:v>2.4</c:v>
                </c:pt>
                <c:pt idx="18">
                  <c:v>2.4</c:v>
                </c:pt>
                <c:pt idx="20">
                  <c:v>0</c:v>
                </c:pt>
                <c:pt idx="21">
                  <c:v>0</c:v>
                </c:pt>
                <c:pt idx="22">
                  <c:v>2.4</c:v>
                </c:pt>
                <c:pt idx="23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2.4</c:v>
                </c:pt>
                <c:pt idx="28">
                  <c:v>2.4</c:v>
                </c:pt>
                <c:pt idx="30">
                  <c:v>0</c:v>
                </c:pt>
                <c:pt idx="31">
                  <c:v>0</c:v>
                </c:pt>
                <c:pt idx="32">
                  <c:v>2.4</c:v>
                </c:pt>
                <c:pt idx="33">
                  <c:v>2.4</c:v>
                </c:pt>
                <c:pt idx="35">
                  <c:v>0</c:v>
                </c:pt>
                <c:pt idx="36">
                  <c:v>0</c:v>
                </c:pt>
                <c:pt idx="37">
                  <c:v>2.4</c:v>
                </c:pt>
                <c:pt idx="38">
                  <c:v>2.4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Feuil1!$AH$72:$AH$120</c:f>
              <c:numCache>
                <c:ptCount val="49"/>
                <c:pt idx="20">
                  <c:v>0</c:v>
                </c:pt>
                <c:pt idx="21">
                  <c:v>100.96101562500002</c:v>
                </c:pt>
                <c:pt idx="22">
                  <c:v>34.47773437499999</c:v>
                </c:pt>
                <c:pt idx="2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Feuil1!$AI$71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Feuil1!$AC$72:$AC$120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2.4</c:v>
                </c:pt>
                <c:pt idx="8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2.2263366566195226</c:v>
                </c:pt>
                <c:pt idx="13">
                  <c:v>2.2263366566195226</c:v>
                </c:pt>
                <c:pt idx="15">
                  <c:v>0</c:v>
                </c:pt>
                <c:pt idx="16">
                  <c:v>0</c:v>
                </c:pt>
                <c:pt idx="17">
                  <c:v>2.4</c:v>
                </c:pt>
                <c:pt idx="18">
                  <c:v>2.4</c:v>
                </c:pt>
                <c:pt idx="20">
                  <c:v>0</c:v>
                </c:pt>
                <c:pt idx="21">
                  <c:v>0</c:v>
                </c:pt>
                <c:pt idx="22">
                  <c:v>2.4</c:v>
                </c:pt>
                <c:pt idx="23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2.4</c:v>
                </c:pt>
                <c:pt idx="28">
                  <c:v>2.4</c:v>
                </c:pt>
                <c:pt idx="30">
                  <c:v>0</c:v>
                </c:pt>
                <c:pt idx="31">
                  <c:v>0</c:v>
                </c:pt>
                <c:pt idx="32">
                  <c:v>2.4</c:v>
                </c:pt>
                <c:pt idx="33">
                  <c:v>2.4</c:v>
                </c:pt>
                <c:pt idx="35">
                  <c:v>0</c:v>
                </c:pt>
                <c:pt idx="36">
                  <c:v>0</c:v>
                </c:pt>
                <c:pt idx="37">
                  <c:v>2.4</c:v>
                </c:pt>
                <c:pt idx="38">
                  <c:v>2.4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Feuil1!$AI$72:$AI$120</c:f>
              <c:numCache>
                <c:ptCount val="49"/>
                <c:pt idx="25">
                  <c:v>0</c:v>
                </c:pt>
                <c:pt idx="26">
                  <c:v>77.65101562499999</c:v>
                </c:pt>
                <c:pt idx="27">
                  <c:v>57.787734375000014</c:v>
                </c:pt>
                <c:pt idx="2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Feuil1!$AJ$71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Feuil1!$AC$72:$AC$120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2.4</c:v>
                </c:pt>
                <c:pt idx="8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2.2263366566195226</c:v>
                </c:pt>
                <c:pt idx="13">
                  <c:v>2.2263366566195226</c:v>
                </c:pt>
                <c:pt idx="15">
                  <c:v>0</c:v>
                </c:pt>
                <c:pt idx="16">
                  <c:v>0</c:v>
                </c:pt>
                <c:pt idx="17">
                  <c:v>2.4</c:v>
                </c:pt>
                <c:pt idx="18">
                  <c:v>2.4</c:v>
                </c:pt>
                <c:pt idx="20">
                  <c:v>0</c:v>
                </c:pt>
                <c:pt idx="21">
                  <c:v>0</c:v>
                </c:pt>
                <c:pt idx="22">
                  <c:v>2.4</c:v>
                </c:pt>
                <c:pt idx="23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2.4</c:v>
                </c:pt>
                <c:pt idx="28">
                  <c:v>2.4</c:v>
                </c:pt>
                <c:pt idx="30">
                  <c:v>0</c:v>
                </c:pt>
                <c:pt idx="31">
                  <c:v>0</c:v>
                </c:pt>
                <c:pt idx="32">
                  <c:v>2.4</c:v>
                </c:pt>
                <c:pt idx="33">
                  <c:v>2.4</c:v>
                </c:pt>
                <c:pt idx="35">
                  <c:v>0</c:v>
                </c:pt>
                <c:pt idx="36">
                  <c:v>0</c:v>
                </c:pt>
                <c:pt idx="37">
                  <c:v>2.4</c:v>
                </c:pt>
                <c:pt idx="38">
                  <c:v>2.4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Feuil1!$AJ$72:$AJ$120</c:f>
              <c:numCache>
                <c:ptCount val="49"/>
                <c:pt idx="30">
                  <c:v>0</c:v>
                </c:pt>
                <c:pt idx="31">
                  <c:v>98.0959375</c:v>
                </c:pt>
                <c:pt idx="32">
                  <c:v>2.229062500000009</c:v>
                </c:pt>
                <c:pt idx="33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Feuil1!$AK$71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Feuil1!$AC$72:$AC$120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2.4</c:v>
                </c:pt>
                <c:pt idx="8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2.2263366566195226</c:v>
                </c:pt>
                <c:pt idx="13">
                  <c:v>2.2263366566195226</c:v>
                </c:pt>
                <c:pt idx="15">
                  <c:v>0</c:v>
                </c:pt>
                <c:pt idx="16">
                  <c:v>0</c:v>
                </c:pt>
                <c:pt idx="17">
                  <c:v>2.4</c:v>
                </c:pt>
                <c:pt idx="18">
                  <c:v>2.4</c:v>
                </c:pt>
                <c:pt idx="20">
                  <c:v>0</c:v>
                </c:pt>
                <c:pt idx="21">
                  <c:v>0</c:v>
                </c:pt>
                <c:pt idx="22">
                  <c:v>2.4</c:v>
                </c:pt>
                <c:pt idx="23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2.4</c:v>
                </c:pt>
                <c:pt idx="28">
                  <c:v>2.4</c:v>
                </c:pt>
                <c:pt idx="30">
                  <c:v>0</c:v>
                </c:pt>
                <c:pt idx="31">
                  <c:v>0</c:v>
                </c:pt>
                <c:pt idx="32">
                  <c:v>2.4</c:v>
                </c:pt>
                <c:pt idx="33">
                  <c:v>2.4</c:v>
                </c:pt>
                <c:pt idx="35">
                  <c:v>0</c:v>
                </c:pt>
                <c:pt idx="36">
                  <c:v>0</c:v>
                </c:pt>
                <c:pt idx="37">
                  <c:v>2.4</c:v>
                </c:pt>
                <c:pt idx="38">
                  <c:v>2.4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Feuil1!$AK$72:$AK$120</c:f>
              <c:numCache>
                <c:ptCount val="49"/>
                <c:pt idx="35">
                  <c:v>0</c:v>
                </c:pt>
                <c:pt idx="36">
                  <c:v>74.78593750000002</c:v>
                </c:pt>
                <c:pt idx="37">
                  <c:v>25.539062499999993</c:v>
                </c:pt>
                <c:pt idx="3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Feuil1!$AL$71</c:f>
              <c:strCache>
                <c:ptCount val="1"/>
                <c:pt idx="0">
                  <c:v>semelles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Feuil1!$AC$72:$AC$120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2.4</c:v>
                </c:pt>
                <c:pt idx="3">
                  <c:v>2.4</c:v>
                </c:pt>
                <c:pt idx="5">
                  <c:v>0</c:v>
                </c:pt>
                <c:pt idx="6">
                  <c:v>0</c:v>
                </c:pt>
                <c:pt idx="7">
                  <c:v>2.4</c:v>
                </c:pt>
                <c:pt idx="8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2.2263366566195226</c:v>
                </c:pt>
                <c:pt idx="13">
                  <c:v>2.2263366566195226</c:v>
                </c:pt>
                <c:pt idx="15">
                  <c:v>0</c:v>
                </c:pt>
                <c:pt idx="16">
                  <c:v>0</c:v>
                </c:pt>
                <c:pt idx="17">
                  <c:v>2.4</c:v>
                </c:pt>
                <c:pt idx="18">
                  <c:v>2.4</c:v>
                </c:pt>
                <c:pt idx="20">
                  <c:v>0</c:v>
                </c:pt>
                <c:pt idx="21">
                  <c:v>0</c:v>
                </c:pt>
                <c:pt idx="22">
                  <c:v>2.4</c:v>
                </c:pt>
                <c:pt idx="23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2.4</c:v>
                </c:pt>
                <c:pt idx="28">
                  <c:v>2.4</c:v>
                </c:pt>
                <c:pt idx="30">
                  <c:v>0</c:v>
                </c:pt>
                <c:pt idx="31">
                  <c:v>0</c:v>
                </c:pt>
                <c:pt idx="32">
                  <c:v>2.4</c:v>
                </c:pt>
                <c:pt idx="33">
                  <c:v>2.4</c:v>
                </c:pt>
                <c:pt idx="35">
                  <c:v>0</c:v>
                </c:pt>
                <c:pt idx="36">
                  <c:v>0</c:v>
                </c:pt>
                <c:pt idx="37">
                  <c:v>2.4</c:v>
                </c:pt>
                <c:pt idx="38">
                  <c:v>2.4</c:v>
                </c:pt>
                <c:pt idx="40">
                  <c:v>0</c:v>
                </c:pt>
                <c:pt idx="41">
                  <c:v>0</c:v>
                </c:pt>
                <c:pt idx="42">
                  <c:v>1.2</c:v>
                </c:pt>
                <c:pt idx="43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2.4</c:v>
                </c:pt>
                <c:pt idx="48">
                  <c:v>2.4</c:v>
                </c:pt>
              </c:numCache>
            </c:numRef>
          </c:xVal>
          <c:yVal>
            <c:numRef>
              <c:f>Feuil1!$AL$72:$AL$120</c:f>
              <c:numCache>
                <c:ptCount val="49"/>
                <c:pt idx="40">
                  <c:v>0</c:v>
                </c:pt>
                <c:pt idx="41">
                  <c:v>25</c:v>
                </c:pt>
                <c:pt idx="42">
                  <c:v>25</c:v>
                </c:pt>
                <c:pt idx="43">
                  <c:v>0</c:v>
                </c:pt>
                <c:pt idx="45">
                  <c:v>0</c:v>
                </c:pt>
                <c:pt idx="46">
                  <c:v>30</c:v>
                </c:pt>
                <c:pt idx="47">
                  <c:v>30</c:v>
                </c:pt>
                <c:pt idx="48">
                  <c:v>0</c:v>
                </c:pt>
              </c:numCache>
            </c:numRef>
          </c:yVal>
          <c:smooth val="0"/>
        </c:ser>
        <c:axId val="41190257"/>
        <c:axId val="35167994"/>
      </c:scatterChart>
      <c:valAx>
        <c:axId val="411902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67994"/>
        <c:crosses val="autoZero"/>
        <c:crossBetween val="midCat"/>
        <c:dispUnits/>
      </c:valAx>
      <c:valAx>
        <c:axId val="35167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902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2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1175"/>
          <c:w val="0.82"/>
          <c:h val="0.9422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Feuil1!$Y$13</c:f>
              <c:strCache>
                <c:ptCount val="1"/>
                <c:pt idx="0">
                  <c:v>mur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Feuil1!$X$14:$X$28</c:f>
              <c:numCache>
                <c:ptCount val="15"/>
                <c:pt idx="0">
                  <c:v>0.1</c:v>
                </c:pt>
                <c:pt idx="1">
                  <c:v>0.1</c:v>
                </c:pt>
                <c:pt idx="2">
                  <c:v>1.3</c:v>
                </c:pt>
                <c:pt idx="3">
                  <c:v>1.3</c:v>
                </c:pt>
                <c:pt idx="4">
                  <c:v>1.6</c:v>
                </c:pt>
                <c:pt idx="5">
                  <c:v>1.6</c:v>
                </c:pt>
                <c:pt idx="6">
                  <c:v>2.5</c:v>
                </c:pt>
                <c:pt idx="7">
                  <c:v>2.5</c:v>
                </c:pt>
                <c:pt idx="8">
                  <c:v>0.1</c:v>
                </c:pt>
                <c:pt idx="10">
                  <c:v>0.1</c:v>
                </c:pt>
                <c:pt idx="11">
                  <c:v>1.3</c:v>
                </c:pt>
                <c:pt idx="13">
                  <c:v>1.6</c:v>
                </c:pt>
                <c:pt idx="14">
                  <c:v>2.5</c:v>
                </c:pt>
              </c:numCache>
            </c:numRef>
          </c:xVal>
          <c:yVal>
            <c:numRef>
              <c:f>Feuil1!$Y$14:$Y$28</c:f>
              <c:numCache>
                <c:ptCount val="15"/>
                <c:pt idx="0">
                  <c:v>0.1</c:v>
                </c:pt>
                <c:pt idx="1">
                  <c:v>0.35</c:v>
                </c:pt>
                <c:pt idx="2">
                  <c:v>0.35</c:v>
                </c:pt>
                <c:pt idx="3">
                  <c:v>4.1</c:v>
                </c:pt>
                <c:pt idx="4">
                  <c:v>4.1</c:v>
                </c:pt>
                <c:pt idx="5">
                  <c:v>0.4</c:v>
                </c:pt>
                <c:pt idx="6">
                  <c:v>0.4</c:v>
                </c:pt>
                <c:pt idx="7">
                  <c:v>0.1</c:v>
                </c:pt>
                <c:pt idx="8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Feuil1!$Z$13</c:f>
              <c:strCache>
                <c:ptCount val="1"/>
                <c:pt idx="0">
                  <c:v>terre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Feuil1!$X$14:$X$28</c:f>
              <c:numCache>
                <c:ptCount val="15"/>
                <c:pt idx="0">
                  <c:v>0.1</c:v>
                </c:pt>
                <c:pt idx="1">
                  <c:v>0.1</c:v>
                </c:pt>
                <c:pt idx="2">
                  <c:v>1.3</c:v>
                </c:pt>
                <c:pt idx="3">
                  <c:v>1.3</c:v>
                </c:pt>
                <c:pt idx="4">
                  <c:v>1.6</c:v>
                </c:pt>
                <c:pt idx="5">
                  <c:v>1.6</c:v>
                </c:pt>
                <c:pt idx="6">
                  <c:v>2.5</c:v>
                </c:pt>
                <c:pt idx="7">
                  <c:v>2.5</c:v>
                </c:pt>
                <c:pt idx="8">
                  <c:v>0.1</c:v>
                </c:pt>
                <c:pt idx="10">
                  <c:v>0.1</c:v>
                </c:pt>
                <c:pt idx="11">
                  <c:v>1.3</c:v>
                </c:pt>
                <c:pt idx="13">
                  <c:v>1.6</c:v>
                </c:pt>
                <c:pt idx="14">
                  <c:v>2.5</c:v>
                </c:pt>
              </c:numCache>
            </c:numRef>
          </c:xVal>
          <c:yVal>
            <c:numRef>
              <c:f>Feuil1!$Z$14:$Z$28</c:f>
              <c:numCache>
                <c:ptCount val="15"/>
                <c:pt idx="10">
                  <c:v>1.1</c:v>
                </c:pt>
                <c:pt idx="11">
                  <c:v>1.1</c:v>
                </c:pt>
                <c:pt idx="13">
                  <c:v>4.1</c:v>
                </c:pt>
                <c:pt idx="14">
                  <c:v>4.1</c:v>
                </c:pt>
              </c:numCache>
            </c:numRef>
          </c:yVal>
          <c:smooth val="0"/>
        </c:ser>
        <c:axId val="48076491"/>
        <c:axId val="30035236"/>
      </c:scatterChart>
      <c:val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35236"/>
        <c:crosses val="autoZero"/>
        <c:crossBetween val="midCat"/>
        <c:dispUnits/>
      </c:valAx>
      <c:valAx>
        <c:axId val="30035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76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w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176</xdr:row>
      <xdr:rowOff>0</xdr:rowOff>
    </xdr:from>
    <xdr:to>
      <xdr:col>15</xdr:col>
      <xdr:colOff>342900</xdr:colOff>
      <xdr:row>198</xdr:row>
      <xdr:rowOff>66675</xdr:rowOff>
    </xdr:to>
    <xdr:graphicFrame>
      <xdr:nvGraphicFramePr>
        <xdr:cNvPr id="1" name="Chart 61"/>
        <xdr:cNvGraphicFramePr/>
      </xdr:nvGraphicFramePr>
      <xdr:xfrm>
        <a:off x="95250" y="28460700"/>
        <a:ext cx="73247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154</xdr:row>
      <xdr:rowOff>66675</xdr:rowOff>
    </xdr:from>
    <xdr:to>
      <xdr:col>15</xdr:col>
      <xdr:colOff>361950</xdr:colOff>
      <xdr:row>175</xdr:row>
      <xdr:rowOff>76200</xdr:rowOff>
    </xdr:to>
    <xdr:graphicFrame>
      <xdr:nvGraphicFramePr>
        <xdr:cNvPr id="2" name="Chart 63"/>
        <xdr:cNvGraphicFramePr/>
      </xdr:nvGraphicFramePr>
      <xdr:xfrm>
        <a:off x="66675" y="25174575"/>
        <a:ext cx="73723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247650</xdr:colOff>
      <xdr:row>131</xdr:row>
      <xdr:rowOff>66675</xdr:rowOff>
    </xdr:from>
    <xdr:to>
      <xdr:col>11</xdr:col>
      <xdr:colOff>180975</xdr:colOff>
      <xdr:row>153</xdr:row>
      <xdr:rowOff>133350</xdr:rowOff>
    </xdr:to>
    <xdr:graphicFrame>
      <xdr:nvGraphicFramePr>
        <xdr:cNvPr id="3" name="Chart 69"/>
        <xdr:cNvGraphicFramePr/>
      </xdr:nvGraphicFramePr>
      <xdr:xfrm>
        <a:off x="1219200" y="21593175"/>
        <a:ext cx="40767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A150"/>
  <sheetViews>
    <sheetView showGridLines="0" tabSelected="1" view="pageBreakPreview" zoomScaleSheetLayoutView="100" workbookViewId="0" topLeftCell="A1">
      <selection activeCell="B7" sqref="B7"/>
    </sheetView>
  </sheetViews>
  <sheetFormatPr defaultColWidth="11.421875" defaultRowHeight="12"/>
  <cols>
    <col min="1" max="1" width="6.57421875" style="0" customWidth="1"/>
    <col min="2" max="2" width="8.00390625" style="0" customWidth="1"/>
    <col min="3" max="3" width="7.7109375" style="1" customWidth="1"/>
    <col min="4" max="4" width="6.57421875" style="1" customWidth="1"/>
    <col min="5" max="5" width="6.8515625" style="1" customWidth="1"/>
    <col min="6" max="6" width="7.421875" style="1" customWidth="1"/>
    <col min="7" max="7" width="6.8515625" style="1" customWidth="1"/>
    <col min="8" max="8" width="6.7109375" style="1" customWidth="1"/>
    <col min="9" max="9" width="7.28125" style="1" customWidth="1"/>
    <col min="10" max="10" width="6.57421875" style="1" customWidth="1"/>
    <col min="11" max="11" width="6.140625" style="1" customWidth="1"/>
    <col min="12" max="12" width="6.421875" style="0" customWidth="1"/>
    <col min="13" max="13" width="8.140625" style="0" customWidth="1"/>
    <col min="14" max="15" width="7.421875" style="0" customWidth="1"/>
    <col min="16" max="22" width="8.57421875" style="0" customWidth="1"/>
    <col min="23" max="24" width="7.421875" style="1" customWidth="1"/>
    <col min="25" max="26" width="7.00390625" style="1" customWidth="1"/>
    <col min="27" max="27" width="5.421875" style="1" customWidth="1"/>
    <col min="28" max="28" width="7.00390625" style="1" customWidth="1"/>
    <col min="29" max="30" width="5.421875" style="1" customWidth="1"/>
    <col min="31" max="31" width="5.00390625" style="1" customWidth="1"/>
    <col min="32" max="37" width="5.00390625" style="0" customWidth="1"/>
    <col min="38" max="41" width="5.00390625" style="1" customWidth="1"/>
    <col min="42" max="43" width="5.421875" style="1" customWidth="1"/>
    <col min="44" max="57" width="5.57421875" style="1" customWidth="1"/>
    <col min="58" max="58" width="11.421875" style="1" customWidth="1"/>
  </cols>
  <sheetData>
    <row r="1" spans="2:9" ht="12.75" thickBot="1">
      <c r="B1" s="132" t="s">
        <v>206</v>
      </c>
      <c r="C1" s="132"/>
      <c r="D1" s="132"/>
      <c r="E1" s="132"/>
      <c r="F1" s="132"/>
      <c r="G1" s="132"/>
      <c r="H1" s="132"/>
      <c r="I1" s="132"/>
    </row>
    <row r="2" spans="1:22" ht="12.75">
      <c r="A2" s="8" t="s">
        <v>191</v>
      </c>
      <c r="P2" s="56" t="s">
        <v>112</v>
      </c>
      <c r="Q2" s="56"/>
      <c r="R2" s="56"/>
      <c r="S2" s="56"/>
      <c r="T2" s="56"/>
      <c r="U2" s="56"/>
      <c r="V2" s="56"/>
    </row>
    <row r="3" spans="16:22" ht="12.75">
      <c r="P3" s="56" t="s">
        <v>113</v>
      </c>
      <c r="Q3" s="56"/>
      <c r="R3" s="56"/>
      <c r="S3" s="56"/>
      <c r="T3" s="56"/>
      <c r="U3" s="56"/>
      <c r="V3" s="56"/>
    </row>
    <row r="4" spans="1:22" ht="13.5" thickBot="1">
      <c r="A4" s="8" t="s">
        <v>66</v>
      </c>
      <c r="P4" s="56" t="s">
        <v>114</v>
      </c>
      <c r="Q4" s="56"/>
      <c r="R4" s="56"/>
      <c r="S4" s="56"/>
      <c r="T4" s="56"/>
      <c r="U4" s="56"/>
      <c r="V4" s="56"/>
    </row>
    <row r="5" spans="1:22" ht="14.25" thickTop="1">
      <c r="A5" s="6" t="s">
        <v>42</v>
      </c>
      <c r="B5" s="101">
        <v>1.2</v>
      </c>
      <c r="C5" s="20" t="s">
        <v>22</v>
      </c>
      <c r="D5" s="7" t="s">
        <v>69</v>
      </c>
      <c r="P5" s="56" t="s">
        <v>115</v>
      </c>
      <c r="Q5" s="56"/>
      <c r="R5" s="56"/>
      <c r="S5" s="56"/>
      <c r="T5" s="56"/>
      <c r="U5" s="56"/>
      <c r="V5" s="56"/>
    </row>
    <row r="6" spans="1:22" ht="13.5">
      <c r="A6" s="6" t="s">
        <v>43</v>
      </c>
      <c r="B6" s="102">
        <v>0.3</v>
      </c>
      <c r="C6" s="20" t="s">
        <v>22</v>
      </c>
      <c r="D6" s="7" t="s">
        <v>190</v>
      </c>
      <c r="P6" s="56" t="s">
        <v>116</v>
      </c>
      <c r="Q6" s="56"/>
      <c r="R6" s="56"/>
      <c r="S6" s="56"/>
      <c r="T6" s="56"/>
      <c r="U6" s="56"/>
      <c r="V6" s="56"/>
    </row>
    <row r="7" spans="1:22" ht="13.5">
      <c r="A7" s="6" t="s">
        <v>44</v>
      </c>
      <c r="B7" s="102">
        <v>0.9</v>
      </c>
      <c r="C7" s="20" t="s">
        <v>22</v>
      </c>
      <c r="D7" s="7" t="s">
        <v>70</v>
      </c>
      <c r="J7" s="6"/>
      <c r="P7" s="57"/>
      <c r="Q7" s="57"/>
      <c r="R7" s="57"/>
      <c r="S7" s="57"/>
      <c r="T7" s="57"/>
      <c r="U7" s="57"/>
      <c r="V7" s="57"/>
    </row>
    <row r="8" spans="1:10" ht="13.5">
      <c r="A8" s="6" t="s">
        <v>45</v>
      </c>
      <c r="B8" s="102">
        <v>0.25</v>
      </c>
      <c r="C8" s="20" t="s">
        <v>22</v>
      </c>
      <c r="D8" s="7" t="s">
        <v>71</v>
      </c>
      <c r="J8" s="6"/>
    </row>
    <row r="9" spans="1:4" ht="13.5">
      <c r="A9" s="6" t="s">
        <v>46</v>
      </c>
      <c r="B9" s="102">
        <v>0.75</v>
      </c>
      <c r="C9" s="20" t="s">
        <v>22</v>
      </c>
      <c r="D9" s="7" t="s">
        <v>72</v>
      </c>
    </row>
    <row r="10" spans="1:4" ht="13.5">
      <c r="A10" s="6" t="s">
        <v>47</v>
      </c>
      <c r="B10" s="102">
        <v>0.3</v>
      </c>
      <c r="C10" s="20" t="s">
        <v>22</v>
      </c>
      <c r="D10" s="7" t="s">
        <v>73</v>
      </c>
    </row>
    <row r="11" spans="1:4" ht="13.5">
      <c r="A11" s="6" t="s">
        <v>48</v>
      </c>
      <c r="B11" s="102">
        <v>3.7</v>
      </c>
      <c r="C11" s="20" t="s">
        <v>22</v>
      </c>
      <c r="D11" s="7" t="s">
        <v>74</v>
      </c>
    </row>
    <row r="12" spans="1:25" ht="13.5">
      <c r="A12" s="6" t="s">
        <v>53</v>
      </c>
      <c r="B12" s="102">
        <v>5</v>
      </c>
      <c r="C12" s="20" t="s">
        <v>15</v>
      </c>
      <c r="D12" s="7" t="s">
        <v>78</v>
      </c>
      <c r="X12" s="1" t="s">
        <v>150</v>
      </c>
      <c r="Y12" s="1">
        <v>0.1</v>
      </c>
    </row>
    <row r="13" spans="1:26" ht="12">
      <c r="A13" s="23" t="s">
        <v>55</v>
      </c>
      <c r="B13" s="102">
        <v>30</v>
      </c>
      <c r="C13" s="7" t="s">
        <v>56</v>
      </c>
      <c r="D13" s="7" t="s">
        <v>39</v>
      </c>
      <c r="X13" s="61"/>
      <c r="Y13" s="62" t="s">
        <v>149</v>
      </c>
      <c r="Z13" s="62" t="s">
        <v>13</v>
      </c>
    </row>
    <row r="14" spans="1:26" ht="12">
      <c r="A14" s="23" t="s">
        <v>55</v>
      </c>
      <c r="B14" s="102">
        <f>B13*PI()/180</f>
        <v>0.5235987755982988</v>
      </c>
      <c r="C14" s="7" t="s">
        <v>57</v>
      </c>
      <c r="D14" s="1" t="s">
        <v>76</v>
      </c>
      <c r="X14" s="71">
        <f>0+dec</f>
        <v>0.1</v>
      </c>
      <c r="Y14" s="72">
        <f>0+dec</f>
        <v>0.1</v>
      </c>
      <c r="Z14" s="72"/>
    </row>
    <row r="15" spans="1:26" ht="13.5">
      <c r="A15" s="23" t="s">
        <v>10</v>
      </c>
      <c r="B15" s="102">
        <v>25</v>
      </c>
      <c r="C15" s="20" t="s">
        <v>54</v>
      </c>
      <c r="D15" s="7" t="s">
        <v>77</v>
      </c>
      <c r="H15"/>
      <c r="I15"/>
      <c r="X15" s="71">
        <f>0+dec</f>
        <v>0.1</v>
      </c>
      <c r="Y15" s="72">
        <f>B8+dec</f>
        <v>0.35</v>
      </c>
      <c r="Z15" s="72"/>
    </row>
    <row r="16" spans="1:26" ht="13.5">
      <c r="A16" s="23" t="s">
        <v>52</v>
      </c>
      <c r="B16" s="102">
        <v>18</v>
      </c>
      <c r="C16" s="20" t="s">
        <v>54</v>
      </c>
      <c r="D16" s="7" t="s">
        <v>75</v>
      </c>
      <c r="H16"/>
      <c r="I16"/>
      <c r="X16" s="71">
        <f>B5+dec</f>
        <v>1.3</v>
      </c>
      <c r="Y16" s="72">
        <f>Y15</f>
        <v>0.35</v>
      </c>
      <c r="Z16" s="72"/>
    </row>
    <row r="17" spans="1:26" ht="13.5">
      <c r="A17" s="23" t="s">
        <v>27</v>
      </c>
      <c r="B17" s="102">
        <v>1.35</v>
      </c>
      <c r="C17" s="7"/>
      <c r="D17" s="7" t="s">
        <v>79</v>
      </c>
      <c r="H17"/>
      <c r="I17"/>
      <c r="R17" s="112" t="s">
        <v>175</v>
      </c>
      <c r="S17" s="113">
        <v>25</v>
      </c>
      <c r="T17" s="114">
        <v>1.05</v>
      </c>
      <c r="X17" s="71">
        <f>X16</f>
        <v>1.3</v>
      </c>
      <c r="Y17" s="72">
        <f>B31+dec</f>
        <v>4.1</v>
      </c>
      <c r="Z17" s="72"/>
    </row>
    <row r="18" spans="1:26" ht="13.5">
      <c r="A18" s="23" t="s">
        <v>12</v>
      </c>
      <c r="B18" s="102">
        <v>1.5</v>
      </c>
      <c r="C18" s="7"/>
      <c r="D18" s="7" t="s">
        <v>80</v>
      </c>
      <c r="R18" s="115" t="s">
        <v>180</v>
      </c>
      <c r="S18" s="116">
        <v>50</v>
      </c>
      <c r="T18" s="117">
        <v>1.1</v>
      </c>
      <c r="X18" s="71">
        <f>B5+B6+dec</f>
        <v>1.6</v>
      </c>
      <c r="Y18" s="72">
        <f>Y17</f>
        <v>4.1</v>
      </c>
      <c r="Z18" s="72"/>
    </row>
    <row r="19" spans="1:26" ht="13.5">
      <c r="A19" s="23" t="s">
        <v>63</v>
      </c>
      <c r="B19" s="102">
        <v>1.1</v>
      </c>
      <c r="D19" s="7" t="s">
        <v>81</v>
      </c>
      <c r="R19" s="118" t="s">
        <v>181</v>
      </c>
      <c r="S19" s="119">
        <v>75</v>
      </c>
      <c r="T19" s="120">
        <v>1.15</v>
      </c>
      <c r="X19" s="71">
        <f>X18</f>
        <v>1.6</v>
      </c>
      <c r="Y19" s="72">
        <f>B10+dec</f>
        <v>0.4</v>
      </c>
      <c r="Z19" s="72"/>
    </row>
    <row r="20" spans="1:26" ht="14.25" thickBot="1">
      <c r="A20" s="6" t="s">
        <v>120</v>
      </c>
      <c r="B20" s="102">
        <v>25</v>
      </c>
      <c r="C20" t="s">
        <v>97</v>
      </c>
      <c r="D20" s="33" t="s">
        <v>122</v>
      </c>
      <c r="X20" s="71">
        <f>B29+dec</f>
        <v>2.5</v>
      </c>
      <c r="Y20" s="72">
        <f>Y19</f>
        <v>0.4</v>
      </c>
      <c r="Z20" s="72"/>
    </row>
    <row r="21" spans="1:26" ht="14.25" thickTop="1">
      <c r="A21" s="6" t="s">
        <v>121</v>
      </c>
      <c r="B21" s="102">
        <v>500</v>
      </c>
      <c r="C21" t="s">
        <v>97</v>
      </c>
      <c r="D21" s="33" t="s">
        <v>123</v>
      </c>
      <c r="H21" s="23" t="s">
        <v>124</v>
      </c>
      <c r="I21" s="101">
        <v>1.5</v>
      </c>
      <c r="K21" s="6" t="s">
        <v>126</v>
      </c>
      <c r="L21" s="2">
        <f>B20/I21</f>
        <v>16.666666666666668</v>
      </c>
      <c r="M21" t="s">
        <v>97</v>
      </c>
      <c r="S21" s="121" t="s">
        <v>179</v>
      </c>
      <c r="T21" s="114">
        <f>VLOOKUP(B23,R17:T19,2)</f>
        <v>25</v>
      </c>
      <c r="X21" s="71">
        <f>X20</f>
        <v>2.5</v>
      </c>
      <c r="Y21" s="72">
        <f>0+dec</f>
        <v>0.1</v>
      </c>
      <c r="Z21" s="72"/>
    </row>
    <row r="22" spans="1:26" ht="14.25" thickBot="1">
      <c r="A22" s="6" t="s">
        <v>117</v>
      </c>
      <c r="B22" s="102">
        <v>45</v>
      </c>
      <c r="C22" t="s">
        <v>118</v>
      </c>
      <c r="D22" s="7" t="s">
        <v>119</v>
      </c>
      <c r="H22" s="23" t="s">
        <v>125</v>
      </c>
      <c r="I22" s="103">
        <v>1.15</v>
      </c>
      <c r="K22" s="6" t="s">
        <v>127</v>
      </c>
      <c r="L22" s="2">
        <f>B21/I22</f>
        <v>434.7826086956522</v>
      </c>
      <c r="M22" t="s">
        <v>97</v>
      </c>
      <c r="S22" s="122" t="s">
        <v>178</v>
      </c>
      <c r="T22" s="117">
        <f>VLOOKUP(B23,R17:T19,3)</f>
        <v>1.05</v>
      </c>
      <c r="X22" s="63">
        <f>0+dec</f>
        <v>0.1</v>
      </c>
      <c r="Y22" s="14">
        <f>+dec</f>
        <v>0.1</v>
      </c>
      <c r="Z22" s="72"/>
    </row>
    <row r="23" spans="1:26" ht="14.25" thickTop="1">
      <c r="A23" s="6" t="s">
        <v>176</v>
      </c>
      <c r="B23" s="102" t="s">
        <v>175</v>
      </c>
      <c r="C23"/>
      <c r="D23" s="7" t="s">
        <v>177</v>
      </c>
      <c r="S23" s="123" t="s">
        <v>182</v>
      </c>
      <c r="T23" s="124">
        <f>L22/200</f>
        <v>2.1739130434782608</v>
      </c>
      <c r="X23" s="71"/>
      <c r="Y23" s="68"/>
      <c r="Z23" s="72"/>
    </row>
    <row r="24" spans="1:26" ht="13.5">
      <c r="A24" s="24" t="s">
        <v>67</v>
      </c>
      <c r="B24" s="102">
        <v>0.333</v>
      </c>
      <c r="C24"/>
      <c r="D24" s="7" t="s">
        <v>192</v>
      </c>
      <c r="X24" s="71">
        <f>MIN(X14:X21)</f>
        <v>0.1</v>
      </c>
      <c r="Y24" s="68"/>
      <c r="Z24" s="72">
        <f>B8+B9+dec</f>
        <v>1.1</v>
      </c>
    </row>
    <row r="25" spans="1:26" ht="13.5">
      <c r="A25" s="24" t="s">
        <v>197</v>
      </c>
      <c r="B25" s="127"/>
      <c r="C25"/>
      <c r="D25" s="7" t="s">
        <v>194</v>
      </c>
      <c r="X25" s="71">
        <f>B5+dec</f>
        <v>1.3</v>
      </c>
      <c r="Y25" s="68"/>
      <c r="Z25" s="72">
        <f>Z24</f>
        <v>1.1</v>
      </c>
    </row>
    <row r="26" spans="1:26" ht="14.25" thickBot="1">
      <c r="A26" s="24" t="s">
        <v>198</v>
      </c>
      <c r="B26" s="103">
        <v>0.5</v>
      </c>
      <c r="C26"/>
      <c r="D26" s="7" t="s">
        <v>195</v>
      </c>
      <c r="X26" s="71"/>
      <c r="Y26" s="68"/>
      <c r="Z26" s="72"/>
    </row>
    <row r="27" spans="24:26" ht="12.75" thickTop="1">
      <c r="X27" s="71">
        <f>B5+B6+dec</f>
        <v>1.6</v>
      </c>
      <c r="Y27" s="68"/>
      <c r="Z27" s="72">
        <f>B31+dec</f>
        <v>4.1</v>
      </c>
    </row>
    <row r="28" spans="1:26" ht="12">
      <c r="A28" s="25" t="s">
        <v>85</v>
      </c>
      <c r="J28" s="6" t="s">
        <v>109</v>
      </c>
      <c r="K28" s="52">
        <f>N84</f>
        <v>91.4211214694554</v>
      </c>
      <c r="L28" s="7" t="s">
        <v>107</v>
      </c>
      <c r="X28" s="63">
        <f>B29+dec</f>
        <v>2.5</v>
      </c>
      <c r="Y28" s="69"/>
      <c r="Z28" s="14">
        <f>Z27</f>
        <v>4.1</v>
      </c>
    </row>
    <row r="29" spans="1:12" ht="12">
      <c r="A29" s="6" t="s">
        <v>50</v>
      </c>
      <c r="B29" s="2">
        <f>B5+B6+B7</f>
        <v>2.4</v>
      </c>
      <c r="C29" s="7" t="s">
        <v>22</v>
      </c>
      <c r="D29" s="7" t="s">
        <v>82</v>
      </c>
      <c r="J29" s="6" t="s">
        <v>108</v>
      </c>
      <c r="K29" s="53" t="str">
        <f>IF(MAX(D70:E70)&lt;1.01,"OK","KO")</f>
        <v>OK</v>
      </c>
      <c r="L29" s="1"/>
    </row>
    <row r="30" spans="1:12" ht="13.5">
      <c r="A30" s="6" t="s">
        <v>49</v>
      </c>
      <c r="B30" s="2">
        <f>B31-B8-B9</f>
        <v>3</v>
      </c>
      <c r="C30" s="7" t="s">
        <v>22</v>
      </c>
      <c r="D30" s="7" t="s">
        <v>83</v>
      </c>
      <c r="J30" s="6" t="s">
        <v>145</v>
      </c>
      <c r="K30" s="65">
        <f>B96</f>
        <v>8.0336416063659</v>
      </c>
      <c r="L30" s="7" t="s">
        <v>136</v>
      </c>
    </row>
    <row r="31" spans="1:12" ht="13.5">
      <c r="A31" s="6" t="s">
        <v>51</v>
      </c>
      <c r="B31" s="2">
        <f>B10+B11</f>
        <v>4</v>
      </c>
      <c r="C31" s="7" t="s">
        <v>22</v>
      </c>
      <c r="D31" s="7" t="s">
        <v>84</v>
      </c>
      <c r="J31" s="6" t="s">
        <v>146</v>
      </c>
      <c r="K31" s="65">
        <f>B112</f>
        <v>-3.0975538535920055</v>
      </c>
      <c r="L31" s="7" t="s">
        <v>136</v>
      </c>
    </row>
    <row r="32" spans="1:12" ht="13.5">
      <c r="A32" s="24" t="s">
        <v>67</v>
      </c>
      <c r="B32" s="4">
        <f>IF(B24=0,(TAN(PI()/4-B14/2))^2,B24)</f>
        <v>0.333</v>
      </c>
      <c r="D32" s="7" t="s">
        <v>68</v>
      </c>
      <c r="J32" s="6" t="s">
        <v>170</v>
      </c>
      <c r="K32" s="65">
        <f>B128</f>
        <v>5.409045463511136</v>
      </c>
      <c r="L32" s="7" t="s">
        <v>136</v>
      </c>
    </row>
    <row r="33" spans="1:5" ht="13.5">
      <c r="A33" s="98" t="s">
        <v>197</v>
      </c>
      <c r="B33" s="4">
        <f>IF(B25=0,1/B32,B25)</f>
        <v>3.003003003003003</v>
      </c>
      <c r="C33" s="128"/>
      <c r="D33" s="129" t="s">
        <v>203</v>
      </c>
      <c r="E33" s="128"/>
    </row>
    <row r="34" spans="1:4" ht="13.5">
      <c r="A34" s="98" t="s">
        <v>198</v>
      </c>
      <c r="B34" s="4">
        <v>0.67</v>
      </c>
      <c r="C34" s="128"/>
      <c r="D34" s="129" t="s">
        <v>204</v>
      </c>
    </row>
    <row r="35" spans="1:4" ht="12">
      <c r="A35" s="98"/>
      <c r="B35" s="99"/>
      <c r="C35" s="128"/>
      <c r="D35" s="129"/>
    </row>
    <row r="36" spans="1:2" ht="12">
      <c r="A36" s="8" t="s">
        <v>25</v>
      </c>
      <c r="B36" s="1"/>
    </row>
    <row r="37" spans="1:10" ht="13.5">
      <c r="A37" s="13" t="s">
        <v>19</v>
      </c>
      <c r="B37" s="130" t="s">
        <v>20</v>
      </c>
      <c r="C37" s="131"/>
      <c r="D37" s="12" t="s">
        <v>24</v>
      </c>
      <c r="E37" s="12" t="s">
        <v>36</v>
      </c>
      <c r="F37" s="2" t="s">
        <v>16</v>
      </c>
      <c r="G37" s="2" t="s">
        <v>34</v>
      </c>
      <c r="H37" s="10" t="s">
        <v>12</v>
      </c>
      <c r="I37" s="3" t="s">
        <v>32</v>
      </c>
      <c r="J37" s="3" t="s">
        <v>35</v>
      </c>
    </row>
    <row r="38" spans="1:10" ht="13.5">
      <c r="A38" s="11"/>
      <c r="B38" s="63"/>
      <c r="C38" s="64"/>
      <c r="D38" s="14" t="s">
        <v>15</v>
      </c>
      <c r="E38" s="2" t="s">
        <v>22</v>
      </c>
      <c r="F38" s="2" t="s">
        <v>21</v>
      </c>
      <c r="G38" s="2" t="s">
        <v>23</v>
      </c>
      <c r="H38" s="2"/>
      <c r="I38" s="2" t="s">
        <v>21</v>
      </c>
      <c r="J38" s="2" t="s">
        <v>23</v>
      </c>
    </row>
    <row r="39" spans="1:10" ht="13.5">
      <c r="A39" s="2" t="s">
        <v>13</v>
      </c>
      <c r="B39" s="2" t="s">
        <v>8</v>
      </c>
      <c r="C39" s="19" t="s">
        <v>40</v>
      </c>
      <c r="D39" s="2">
        <f>$B$32*B16*B31</f>
        <v>23.976000000000003</v>
      </c>
      <c r="E39" s="12">
        <f>B31/3</f>
        <v>1.3333333333333333</v>
      </c>
      <c r="F39" s="2">
        <f>B31/2*D39</f>
        <v>47.952000000000005</v>
      </c>
      <c r="G39" s="2">
        <f>F39*E39</f>
        <v>63.93600000000001</v>
      </c>
      <c r="H39" s="2">
        <f>B17</f>
        <v>1.35</v>
      </c>
      <c r="I39" s="2">
        <f>F39*H39</f>
        <v>64.7352</v>
      </c>
      <c r="J39" s="2">
        <f>H39*G39</f>
        <v>86.31360000000001</v>
      </c>
    </row>
    <row r="40" spans="1:10" ht="13.5">
      <c r="A40" s="2" t="s">
        <v>14</v>
      </c>
      <c r="B40" s="2" t="s">
        <v>5</v>
      </c>
      <c r="C40" s="19" t="s">
        <v>41</v>
      </c>
      <c r="D40" s="2">
        <f>$B$32*B12</f>
        <v>1.665</v>
      </c>
      <c r="E40" s="12">
        <f>B31/2</f>
        <v>2</v>
      </c>
      <c r="F40" s="5">
        <f>B31*D40</f>
        <v>6.66</v>
      </c>
      <c r="G40" s="2">
        <f>F40*E40</f>
        <v>13.32</v>
      </c>
      <c r="H40" s="2">
        <f>B18</f>
        <v>1.5</v>
      </c>
      <c r="I40" s="2">
        <f>F40*H40</f>
        <v>9.99</v>
      </c>
      <c r="J40" s="2">
        <f>H40*G40</f>
        <v>19.98</v>
      </c>
    </row>
    <row r="41" spans="1:10" ht="12">
      <c r="A41" s="1"/>
      <c r="E41" s="1" t="s">
        <v>9</v>
      </c>
      <c r="F41" s="5">
        <f>F39+F40</f>
        <v>54.61200000000001</v>
      </c>
      <c r="G41" s="2">
        <f>G39+G40</f>
        <v>77.256</v>
      </c>
      <c r="I41" s="2">
        <f>I39+I40</f>
        <v>74.7252</v>
      </c>
      <c r="J41" s="2">
        <f>J39+J40</f>
        <v>106.29360000000001</v>
      </c>
    </row>
    <row r="42" spans="1:10" ht="12">
      <c r="A42" s="1"/>
      <c r="F42" s="97"/>
      <c r="G42" s="68"/>
      <c r="I42" s="68"/>
      <c r="J42" s="68"/>
    </row>
    <row r="43" spans="1:10" ht="12">
      <c r="A43" s="8" t="s">
        <v>26</v>
      </c>
      <c r="B43" s="1"/>
      <c r="H43"/>
      <c r="J43"/>
    </row>
    <row r="44" spans="1:10" ht="13.5">
      <c r="A44" s="2"/>
      <c r="B44" s="2" t="s">
        <v>6</v>
      </c>
      <c r="C44" s="2" t="s">
        <v>7</v>
      </c>
      <c r="D44" s="3" t="s">
        <v>10</v>
      </c>
      <c r="E44" s="2" t="s">
        <v>11</v>
      </c>
      <c r="F44" s="2" t="s">
        <v>8</v>
      </c>
      <c r="G44" s="4" t="s">
        <v>34</v>
      </c>
      <c r="H44" s="3" t="s">
        <v>12</v>
      </c>
      <c r="I44" s="3" t="s">
        <v>33</v>
      </c>
      <c r="J44" s="3" t="s">
        <v>35</v>
      </c>
    </row>
    <row r="45" spans="1:10" ht="13.5">
      <c r="A45" s="2"/>
      <c r="B45" s="2" t="s">
        <v>22</v>
      </c>
      <c r="C45" s="2" t="s">
        <v>22</v>
      </c>
      <c r="D45" s="14" t="s">
        <v>37</v>
      </c>
      <c r="E45" s="2" t="s">
        <v>22</v>
      </c>
      <c r="F45" s="2" t="s">
        <v>21</v>
      </c>
      <c r="G45" s="4" t="s">
        <v>23</v>
      </c>
      <c r="H45" s="3"/>
      <c r="I45" s="2" t="s">
        <v>21</v>
      </c>
      <c r="J45" s="4" t="s">
        <v>23</v>
      </c>
    </row>
    <row r="46" spans="1:10" ht="12">
      <c r="A46" s="2" t="s">
        <v>0</v>
      </c>
      <c r="B46" s="4">
        <f>B7</f>
        <v>0.9</v>
      </c>
      <c r="C46" s="4">
        <f>B11</f>
        <v>3.7</v>
      </c>
      <c r="D46" s="4">
        <f>B16</f>
        <v>18</v>
      </c>
      <c r="E46" s="2">
        <f>B5+B6+B7/2</f>
        <v>1.95</v>
      </c>
      <c r="F46" s="2">
        <f>B46*C46*D46</f>
        <v>59.94</v>
      </c>
      <c r="G46" s="2">
        <f aca="true" t="shared" si="0" ref="G46:G52">F46*E46</f>
        <v>116.883</v>
      </c>
      <c r="H46" s="2">
        <f>B17</f>
        <v>1.35</v>
      </c>
      <c r="I46" s="2">
        <f aca="true" t="shared" si="1" ref="I46:I52">F46*H46</f>
        <v>80.919</v>
      </c>
      <c r="J46" s="2">
        <f aca="true" t="shared" si="2" ref="J46:J52">G46*H46</f>
        <v>157.79205000000002</v>
      </c>
    </row>
    <row r="47" spans="1:10" ht="12">
      <c r="A47" s="2" t="s">
        <v>1</v>
      </c>
      <c r="B47" s="4">
        <f>B46</f>
        <v>0.9</v>
      </c>
      <c r="C47" s="4">
        <f>B10</f>
        <v>0.3</v>
      </c>
      <c r="D47" s="4">
        <f>B$15</f>
        <v>25</v>
      </c>
      <c r="E47" s="2">
        <f>E46</f>
        <v>1.95</v>
      </c>
      <c r="F47" s="2">
        <f>B47*C47*D47</f>
        <v>6.75</v>
      </c>
      <c r="G47" s="2">
        <f t="shared" si="0"/>
        <v>13.1625</v>
      </c>
      <c r="H47" s="2">
        <f>H46</f>
        <v>1.35</v>
      </c>
      <c r="I47" s="2">
        <f t="shared" si="1"/>
        <v>9.1125</v>
      </c>
      <c r="J47" s="2">
        <f t="shared" si="2"/>
        <v>17.769375</v>
      </c>
    </row>
    <row r="48" spans="1:10" ht="12">
      <c r="A48" s="2" t="s">
        <v>2</v>
      </c>
      <c r="B48" s="4">
        <f>B6</f>
        <v>0.3</v>
      </c>
      <c r="C48" s="4">
        <v>4</v>
      </c>
      <c r="D48" s="4">
        <f>B$15</f>
        <v>25</v>
      </c>
      <c r="E48" s="2">
        <f>B5+B6/2</f>
        <v>1.3499999999999999</v>
      </c>
      <c r="F48" s="2">
        <f>B48*C48*D48</f>
        <v>30</v>
      </c>
      <c r="G48" s="2">
        <f t="shared" si="0"/>
        <v>40.49999999999999</v>
      </c>
      <c r="H48" s="2">
        <f>H47</f>
        <v>1.35</v>
      </c>
      <c r="I48" s="2">
        <f t="shared" si="1"/>
        <v>40.5</v>
      </c>
      <c r="J48" s="2">
        <f t="shared" si="2"/>
        <v>54.675</v>
      </c>
    </row>
    <row r="49" spans="1:10" ht="12">
      <c r="A49" s="2" t="s">
        <v>3</v>
      </c>
      <c r="B49" s="4">
        <v>1.2</v>
      </c>
      <c r="C49" s="4">
        <f>B8</f>
        <v>0.25</v>
      </c>
      <c r="D49" s="4">
        <f>B$15</f>
        <v>25</v>
      </c>
      <c r="E49" s="2">
        <f>B5/2</f>
        <v>0.6</v>
      </c>
      <c r="F49" s="2">
        <f>B49*C49*D49</f>
        <v>7.5</v>
      </c>
      <c r="G49" s="2">
        <f t="shared" si="0"/>
        <v>4.5</v>
      </c>
      <c r="H49" s="2">
        <f>H48</f>
        <v>1.35</v>
      </c>
      <c r="I49" s="2">
        <f t="shared" si="1"/>
        <v>10.125</v>
      </c>
      <c r="J49" s="2">
        <f t="shared" si="2"/>
        <v>6.075</v>
      </c>
    </row>
    <row r="50" spans="1:10" ht="12">
      <c r="A50" s="2" t="s">
        <v>4</v>
      </c>
      <c r="B50" s="4">
        <f>B5</f>
        <v>1.2</v>
      </c>
      <c r="C50" s="4">
        <f>B9</f>
        <v>0.75</v>
      </c>
      <c r="D50" s="4">
        <f>B16</f>
        <v>18</v>
      </c>
      <c r="E50" s="2">
        <f>E49</f>
        <v>0.6</v>
      </c>
      <c r="F50" s="2">
        <f>B50*C50*D50</f>
        <v>16.2</v>
      </c>
      <c r="G50" s="2">
        <f t="shared" si="0"/>
        <v>9.719999999999999</v>
      </c>
      <c r="H50" s="2">
        <f>H49</f>
        <v>1.35</v>
      </c>
      <c r="I50" s="2">
        <f t="shared" si="1"/>
        <v>21.87</v>
      </c>
      <c r="J50" s="2">
        <f t="shared" si="2"/>
        <v>13.122</v>
      </c>
    </row>
    <row r="51" spans="1:10" ht="12">
      <c r="A51" s="17"/>
      <c r="B51" s="21"/>
      <c r="C51" s="21"/>
      <c r="D51" s="21"/>
      <c r="E51" s="18" t="s">
        <v>38</v>
      </c>
      <c r="F51" s="2">
        <f>SUM(F46:F50)</f>
        <v>120.39</v>
      </c>
      <c r="G51" s="2">
        <f>SUM(G46:G50)</f>
        <v>184.7655</v>
      </c>
      <c r="H51" s="2"/>
      <c r="I51" s="2">
        <f>SUM(I46:I50)</f>
        <v>162.5265</v>
      </c>
      <c r="J51" s="2">
        <f>SUM(J46:J50)</f>
        <v>249.433425</v>
      </c>
    </row>
    <row r="52" spans="1:10" ht="12">
      <c r="A52" s="2" t="s">
        <v>5</v>
      </c>
      <c r="B52" s="4">
        <f>B7</f>
        <v>0.9</v>
      </c>
      <c r="C52" s="4"/>
      <c r="D52" s="4">
        <v>10</v>
      </c>
      <c r="E52" s="2">
        <f>E46</f>
        <v>1.95</v>
      </c>
      <c r="F52" s="2">
        <f>B52*D52</f>
        <v>9</v>
      </c>
      <c r="G52" s="2">
        <f t="shared" si="0"/>
        <v>17.55</v>
      </c>
      <c r="H52" s="2">
        <f>B18</f>
        <v>1.5</v>
      </c>
      <c r="I52" s="2">
        <f t="shared" si="1"/>
        <v>13.5</v>
      </c>
      <c r="J52" s="2">
        <f t="shared" si="2"/>
        <v>26.325000000000003</v>
      </c>
    </row>
    <row r="53" spans="1:10" ht="12">
      <c r="A53" s="1"/>
      <c r="B53" s="1"/>
      <c r="E53" s="1" t="s">
        <v>9</v>
      </c>
      <c r="F53" s="2">
        <f>F51+F52</f>
        <v>129.39</v>
      </c>
      <c r="G53" s="2">
        <f>G51+G52</f>
        <v>202.31550000000001</v>
      </c>
      <c r="I53" s="2">
        <f>I51+I52</f>
        <v>176.0265</v>
      </c>
      <c r="J53" s="2">
        <f>J51+J52</f>
        <v>275.758425</v>
      </c>
    </row>
    <row r="54" ht="12"/>
    <row r="55" spans="1:2" ht="12">
      <c r="A55" s="8" t="s">
        <v>29</v>
      </c>
      <c r="B55" s="1"/>
    </row>
    <row r="56" spans="1:6" ht="13.5">
      <c r="A56" s="13" t="s">
        <v>19</v>
      </c>
      <c r="B56" s="13" t="s">
        <v>20</v>
      </c>
      <c r="C56" s="12" t="s">
        <v>24</v>
      </c>
      <c r="D56" s="2" t="s">
        <v>17</v>
      </c>
      <c r="E56" s="2" t="s">
        <v>205</v>
      </c>
      <c r="F56" s="2" t="s">
        <v>18</v>
      </c>
    </row>
    <row r="57" spans="1:6" ht="13.5">
      <c r="A57" s="11"/>
      <c r="B57" s="11"/>
      <c r="C57" s="14" t="s">
        <v>15</v>
      </c>
      <c r="D57" s="2" t="s">
        <v>21</v>
      </c>
      <c r="E57" s="2" t="s">
        <v>22</v>
      </c>
      <c r="F57" s="2" t="s">
        <v>23</v>
      </c>
    </row>
    <row r="58" spans="1:6" ht="13.5">
      <c r="A58" s="2" t="s">
        <v>30</v>
      </c>
      <c r="B58" s="9" t="s">
        <v>196</v>
      </c>
      <c r="C58" s="43">
        <f>$B$26*B16*B9</f>
        <v>6.75</v>
      </c>
      <c r="D58" s="43">
        <f>C58*B9/2</f>
        <v>2.53125</v>
      </c>
      <c r="E58" s="16">
        <f>B8+B9/3</f>
        <v>0.5</v>
      </c>
      <c r="F58" s="2">
        <f>D58*E58</f>
        <v>1.265625</v>
      </c>
    </row>
    <row r="59" spans="1:10" ht="13.5">
      <c r="A59" s="2" t="s">
        <v>31</v>
      </c>
      <c r="B59" s="9" t="s">
        <v>199</v>
      </c>
      <c r="C59" s="2">
        <f>$B$32*H59</f>
        <v>4.4955</v>
      </c>
      <c r="D59" s="2">
        <f>C59*B8</f>
        <v>1.123875</v>
      </c>
      <c r="E59" s="16">
        <f>B8/2</f>
        <v>0.125</v>
      </c>
      <c r="F59" s="2">
        <f>D59*E59</f>
        <v>0.140484375</v>
      </c>
      <c r="G59" s="6" t="s">
        <v>200</v>
      </c>
      <c r="H59" s="2">
        <f>B9*B16</f>
        <v>13.5</v>
      </c>
      <c r="I59" s="7" t="s">
        <v>15</v>
      </c>
      <c r="J59" s="7" t="s">
        <v>201</v>
      </c>
    </row>
    <row r="60" spans="1:6" ht="13.5">
      <c r="A60" s="2" t="s">
        <v>31</v>
      </c>
      <c r="B60" s="9" t="s">
        <v>202</v>
      </c>
      <c r="C60" s="43">
        <f>$B$33*B16*B8</f>
        <v>13.513513513513512</v>
      </c>
      <c r="D60" s="43">
        <f>C60*B8/2</f>
        <v>1.689189189189189</v>
      </c>
      <c r="E60" s="16">
        <f>B8/3</f>
        <v>0.08333333333333333</v>
      </c>
      <c r="F60" s="2">
        <f>D60*E60</f>
        <v>0.14076576576576574</v>
      </c>
    </row>
    <row r="61" spans="1:22" ht="12">
      <c r="A61" s="1"/>
      <c r="C61" s="1" t="s">
        <v>9</v>
      </c>
      <c r="D61" s="2">
        <f>D58+D59+D60</f>
        <v>5.344314189189189</v>
      </c>
      <c r="F61" s="2">
        <f>F58+F59+F60</f>
        <v>1.5468751407657657</v>
      </c>
      <c r="Q61" s="30"/>
      <c r="R61" s="30"/>
      <c r="S61" s="30"/>
      <c r="T61" s="30"/>
      <c r="U61" s="30"/>
      <c r="V61" s="30"/>
    </row>
    <row r="62" spans="17:22" ht="12">
      <c r="Q62" s="31"/>
      <c r="R62" s="31"/>
      <c r="S62" s="31"/>
      <c r="T62" s="31"/>
      <c r="U62" s="31"/>
      <c r="V62" s="31"/>
    </row>
    <row r="63" spans="1:22" ht="12">
      <c r="A63" s="8" t="s">
        <v>28</v>
      </c>
      <c r="Q63" s="31"/>
      <c r="R63" s="31"/>
      <c r="S63" s="31"/>
      <c r="T63" s="31"/>
      <c r="U63" s="31"/>
      <c r="V63" s="31"/>
    </row>
    <row r="64" spans="2:22" ht="13.5">
      <c r="B64" s="1"/>
      <c r="C64" s="6" t="s">
        <v>62</v>
      </c>
      <c r="D64" s="2">
        <v>0</v>
      </c>
      <c r="E64" s="2">
        <f>B12</f>
        <v>5</v>
      </c>
      <c r="F64" s="20" t="s">
        <v>64</v>
      </c>
      <c r="H64" s="26"/>
      <c r="I64" s="26"/>
      <c r="Q64" s="32"/>
      <c r="R64" s="32"/>
      <c r="S64" s="32"/>
      <c r="T64" s="32"/>
      <c r="U64" s="32"/>
      <c r="V64" s="32"/>
    </row>
    <row r="65" spans="1:22" ht="12">
      <c r="A65" s="1"/>
      <c r="B65" s="1"/>
      <c r="C65" s="6" t="s">
        <v>59</v>
      </c>
      <c r="D65" s="2">
        <f>I39</f>
        <v>64.7352</v>
      </c>
      <c r="E65" s="2">
        <f>I41</f>
        <v>74.7252</v>
      </c>
      <c r="F65" s="7" t="s">
        <v>21</v>
      </c>
      <c r="Q65" s="31"/>
      <c r="R65" s="31"/>
      <c r="S65" s="31"/>
      <c r="T65" s="31"/>
      <c r="U65" s="31"/>
      <c r="V65" s="31"/>
    </row>
    <row r="66" spans="1:16" ht="12">
      <c r="A66" s="1"/>
      <c r="B66" s="1"/>
      <c r="C66" s="6" t="s">
        <v>60</v>
      </c>
      <c r="D66" s="2">
        <f>B17*D61</f>
        <v>7.214824155405406</v>
      </c>
      <c r="E66" s="5">
        <f>D66</f>
        <v>7.214824155405406</v>
      </c>
      <c r="F66" s="20" t="s">
        <v>21</v>
      </c>
      <c r="M66" s="26"/>
      <c r="N66" s="26"/>
      <c r="O66" s="1"/>
      <c r="P66" s="30"/>
    </row>
    <row r="67" spans="1:16" ht="13.5">
      <c r="A67" s="1"/>
      <c r="B67" s="1"/>
      <c r="C67" s="6" t="s">
        <v>61</v>
      </c>
      <c r="D67" s="2">
        <f>F51</f>
        <v>120.39</v>
      </c>
      <c r="E67" s="2">
        <f>F53</f>
        <v>129.39</v>
      </c>
      <c r="F67" s="7" t="s">
        <v>21</v>
      </c>
      <c r="M67" s="31"/>
      <c r="P67" s="31"/>
    </row>
    <row r="68" spans="1:16" ht="15">
      <c r="A68" s="1"/>
      <c r="B68" s="1"/>
      <c r="C68" s="125" t="s">
        <v>193</v>
      </c>
      <c r="D68" s="5">
        <f>D67/B19*TAN(B14)</f>
        <v>63.188362643399124</v>
      </c>
      <c r="E68" s="5">
        <f>E67/B19*TAN(B14)</f>
        <v>67.91213757313243</v>
      </c>
      <c r="F68" s="7" t="s">
        <v>21</v>
      </c>
      <c r="M68" s="31"/>
      <c r="P68" s="31"/>
    </row>
    <row r="69" spans="1:16" ht="13.5">
      <c r="A69" s="1"/>
      <c r="B69" s="1"/>
      <c r="C69" s="6" t="s">
        <v>58</v>
      </c>
      <c r="D69" s="5">
        <f>D65-D66</f>
        <v>57.5203758445946</v>
      </c>
      <c r="E69" s="5">
        <f>E65-E66</f>
        <v>67.51037584459459</v>
      </c>
      <c r="F69" s="7" t="s">
        <v>21</v>
      </c>
      <c r="M69" s="32"/>
      <c r="P69" s="32"/>
    </row>
    <row r="70" spans="1:6" ht="12">
      <c r="A70" s="1"/>
      <c r="B70" s="1"/>
      <c r="D70" s="22">
        <f>D69/D68</f>
        <v>0.9103001476586507</v>
      </c>
      <c r="E70" s="22">
        <f>E69/E68</f>
        <v>0.9940840953783087</v>
      </c>
      <c r="F70" s="7" t="s">
        <v>65</v>
      </c>
    </row>
    <row r="71" spans="1:53" ht="12">
      <c r="A71" s="1"/>
      <c r="B71" s="1"/>
      <c r="D71" s="2" t="str">
        <f>IF(D69&lt;D68,"OK","KO")</f>
        <v>OK</v>
      </c>
      <c r="E71" s="2" t="str">
        <f>IF(E69&lt;E68,"OK","KO")</f>
        <v>OK</v>
      </c>
      <c r="AC71" s="61"/>
      <c r="AD71" s="70">
        <v>1</v>
      </c>
      <c r="AE71" s="70">
        <v>2</v>
      </c>
      <c r="AF71" s="74">
        <v>3</v>
      </c>
      <c r="AG71" s="70">
        <v>4</v>
      </c>
      <c r="AH71" s="70">
        <v>5</v>
      </c>
      <c r="AI71" s="70">
        <v>6</v>
      </c>
      <c r="AJ71" s="70">
        <v>7</v>
      </c>
      <c r="AK71" s="70">
        <v>8</v>
      </c>
      <c r="AL71" s="62" t="s">
        <v>148</v>
      </c>
      <c r="AR71" s="61"/>
      <c r="AS71" s="70">
        <v>1</v>
      </c>
      <c r="AT71" s="70">
        <v>2</v>
      </c>
      <c r="AU71" s="70">
        <v>3</v>
      </c>
      <c r="AV71" s="70">
        <v>4</v>
      </c>
      <c r="AW71" s="70">
        <v>5</v>
      </c>
      <c r="AX71" s="70">
        <v>6</v>
      </c>
      <c r="AY71" s="70">
        <v>7</v>
      </c>
      <c r="AZ71" s="70">
        <v>8</v>
      </c>
      <c r="BA71" s="62" t="s">
        <v>148</v>
      </c>
    </row>
    <row r="72" spans="1:53" ht="12">
      <c r="A72" s="8" t="s">
        <v>100</v>
      </c>
      <c r="AB72" s="1">
        <v>1</v>
      </c>
      <c r="AC72" s="71">
        <f>xy(X88,Y88,Z88,$B$29,AB72)</f>
        <v>0</v>
      </c>
      <c r="AD72" s="68">
        <v>0</v>
      </c>
      <c r="AE72" s="68"/>
      <c r="AF72" s="75"/>
      <c r="AG72" s="75"/>
      <c r="AH72" s="75"/>
      <c r="AI72" s="75"/>
      <c r="AJ72" s="75"/>
      <c r="AK72" s="75"/>
      <c r="AL72" s="72"/>
      <c r="AM72" s="1">
        <f>INDEX(J76:O76,1,1)</f>
        <v>116.85164062500002</v>
      </c>
      <c r="AN72" s="1">
        <f>INDEX(J76:O76,1,2)</f>
        <v>29.837109374999983</v>
      </c>
      <c r="AO72" s="1">
        <f>INDEX(J76:O76,1,5)</f>
        <v>91.4211214694554</v>
      </c>
      <c r="AP72" s="1">
        <f>INDEX(J76:O76,1,6)</f>
        <v>1.9254467367129378</v>
      </c>
      <c r="AR72" s="71">
        <f>yx(AM72,AN72,AO72,AP72,$B$29,AB72)</f>
        <v>0</v>
      </c>
      <c r="AS72" s="68">
        <v>0</v>
      </c>
      <c r="AT72" s="68"/>
      <c r="AU72" s="68"/>
      <c r="AV72" s="68"/>
      <c r="AW72" s="68"/>
      <c r="AX72" s="68"/>
      <c r="AY72" s="68"/>
      <c r="AZ72" s="68"/>
      <c r="BA72" s="72"/>
    </row>
    <row r="73" spans="5:53" ht="12">
      <c r="E73" s="1" t="s">
        <v>103</v>
      </c>
      <c r="F73" s="27" t="s">
        <v>104</v>
      </c>
      <c r="G73" s="12"/>
      <c r="H73" s="27" t="s">
        <v>105</v>
      </c>
      <c r="I73" s="12"/>
      <c r="J73" s="27"/>
      <c r="K73" s="35" t="s">
        <v>106</v>
      </c>
      <c r="L73" s="28"/>
      <c r="M73" s="36"/>
      <c r="N73" s="34" t="s">
        <v>99</v>
      </c>
      <c r="O73" s="29"/>
      <c r="AB73" s="1">
        <v>2</v>
      </c>
      <c r="AC73" s="71">
        <f>AC72</f>
        <v>0</v>
      </c>
      <c r="AD73" s="68">
        <f>xy(X88,Y88,Z88,$B$29,AB73)</f>
        <v>116.85164062500002</v>
      </c>
      <c r="AE73" s="68"/>
      <c r="AF73" s="75"/>
      <c r="AG73" s="75"/>
      <c r="AH73" s="75"/>
      <c r="AI73" s="75"/>
      <c r="AJ73" s="75"/>
      <c r="AK73" s="75"/>
      <c r="AL73" s="72"/>
      <c r="AR73" s="71">
        <f>AR72</f>
        <v>0</v>
      </c>
      <c r="AS73" s="68">
        <f>yx(AM72,AN72,AO72,AP72,$B$29,AB73)</f>
        <v>91.4211214694554</v>
      </c>
      <c r="AT73" s="68"/>
      <c r="AU73" s="68"/>
      <c r="AV73" s="68"/>
      <c r="AW73" s="68"/>
      <c r="AX73" s="68"/>
      <c r="AY73" s="68"/>
      <c r="AZ73" s="68"/>
      <c r="BA73" s="72"/>
    </row>
    <row r="74" spans="1:53" ht="13.5">
      <c r="A74" s="105" t="s">
        <v>171</v>
      </c>
      <c r="B74" s="13" t="s">
        <v>53</v>
      </c>
      <c r="C74" s="13" t="s">
        <v>86</v>
      </c>
      <c r="D74" s="13" t="s">
        <v>87</v>
      </c>
      <c r="E74" s="13" t="s">
        <v>90</v>
      </c>
      <c r="F74" s="13" t="s">
        <v>86</v>
      </c>
      <c r="G74" s="13" t="s">
        <v>87</v>
      </c>
      <c r="H74" s="37" t="s">
        <v>95</v>
      </c>
      <c r="I74" s="38" t="s">
        <v>147</v>
      </c>
      <c r="J74" s="38" t="s">
        <v>91</v>
      </c>
      <c r="K74" s="38" t="s">
        <v>92</v>
      </c>
      <c r="L74" s="38" t="s">
        <v>98</v>
      </c>
      <c r="M74" s="13" t="s">
        <v>93</v>
      </c>
      <c r="N74" s="38" t="s">
        <v>94</v>
      </c>
      <c r="O74" s="13" t="s">
        <v>93</v>
      </c>
      <c r="AB74" s="1">
        <v>3</v>
      </c>
      <c r="AC74" s="71">
        <f>xy(X88,Y88,Z88,$B$29,AB74)</f>
        <v>2.4</v>
      </c>
      <c r="AD74" s="68">
        <f>xy(X88,Y88,Z88,$B$29,AB75)</f>
        <v>29.837109374999983</v>
      </c>
      <c r="AE74" s="68"/>
      <c r="AF74" s="75"/>
      <c r="AG74" s="75"/>
      <c r="AH74" s="75"/>
      <c r="AI74" s="75"/>
      <c r="AJ74" s="75"/>
      <c r="AK74" s="75"/>
      <c r="AL74" s="72"/>
      <c r="AR74" s="73">
        <f>yx(AM72,AN72,AO72,AP72,$B$29,AB74)</f>
        <v>1.9254467367129378</v>
      </c>
      <c r="AS74" s="68">
        <f>yx(AM72,AN72,AO72,AP72,$B$29,AB75)</f>
        <v>91.4211214694554</v>
      </c>
      <c r="AT74" s="68"/>
      <c r="AU74" s="68"/>
      <c r="AV74" s="68"/>
      <c r="AW74" s="68"/>
      <c r="AX74" s="68"/>
      <c r="AY74" s="68"/>
      <c r="AZ74" s="68"/>
      <c r="BA74" s="72"/>
    </row>
    <row r="75" spans="1:53" ht="13.5">
      <c r="A75" s="106" t="s">
        <v>14</v>
      </c>
      <c r="B75" s="11" t="s">
        <v>15</v>
      </c>
      <c r="C75" s="41"/>
      <c r="D75" s="41"/>
      <c r="E75" s="41" t="s">
        <v>21</v>
      </c>
      <c r="F75" s="41" t="s">
        <v>23</v>
      </c>
      <c r="G75" s="41" t="s">
        <v>23</v>
      </c>
      <c r="H75" s="41" t="s">
        <v>22</v>
      </c>
      <c r="I75" s="41" t="s">
        <v>96</v>
      </c>
      <c r="J75" s="41" t="s">
        <v>107</v>
      </c>
      <c r="K75" s="41" t="s">
        <v>107</v>
      </c>
      <c r="L75" s="41" t="s">
        <v>107</v>
      </c>
      <c r="M75" s="41" t="s">
        <v>22</v>
      </c>
      <c r="N75" s="41" t="s">
        <v>107</v>
      </c>
      <c r="O75" s="41" t="s">
        <v>22</v>
      </c>
      <c r="AB75" s="1">
        <v>4</v>
      </c>
      <c r="AC75" s="71">
        <f>AC74</f>
        <v>2.4</v>
      </c>
      <c r="AD75" s="68">
        <v>0</v>
      </c>
      <c r="AE75" s="68"/>
      <c r="AF75" s="75"/>
      <c r="AG75" s="75"/>
      <c r="AH75" s="75"/>
      <c r="AI75" s="75"/>
      <c r="AJ75" s="75"/>
      <c r="AK75" s="75"/>
      <c r="AL75" s="72"/>
      <c r="AR75" s="71">
        <f>AR74</f>
        <v>1.9254467367129378</v>
      </c>
      <c r="AS75" s="68">
        <v>0</v>
      </c>
      <c r="AT75" s="68"/>
      <c r="AU75" s="68"/>
      <c r="AV75" s="68"/>
      <c r="AW75" s="68"/>
      <c r="AX75" s="68"/>
      <c r="AY75" s="68"/>
      <c r="AZ75" s="68"/>
      <c r="BA75" s="72"/>
    </row>
    <row r="76" spans="1:53" ht="12">
      <c r="A76" s="109">
        <v>1</v>
      </c>
      <c r="B76" s="2">
        <f>B$12</f>
        <v>5</v>
      </c>
      <c r="C76" s="2" t="s">
        <v>88</v>
      </c>
      <c r="D76" s="2" t="s">
        <v>88</v>
      </c>
      <c r="E76" s="43">
        <f>I53</f>
        <v>176.0265</v>
      </c>
      <c r="F76" s="45">
        <f>J41</f>
        <v>106.29360000000001</v>
      </c>
      <c r="G76" s="45">
        <f>J53</f>
        <v>275.758425</v>
      </c>
      <c r="H76" s="46">
        <f aca="true" t="shared" si="3" ref="H76:H83">contr(F76,G76,E76,B$29,5,1)</f>
        <v>0.9627233683564689</v>
      </c>
      <c r="I76" s="44">
        <f aca="true" t="shared" si="4" ref="I76:I83">contr(F76,G76,E76,B$29,4,1)</f>
        <v>-0.0988652631848046</v>
      </c>
      <c r="J76" s="47">
        <f aca="true" t="shared" si="5" ref="J76:J83">contr(F76,G76,E76,B$29,1,1)</f>
        <v>116.85164062500002</v>
      </c>
      <c r="K76" s="48">
        <f aca="true" t="shared" si="6" ref="K76:K83">contr(F76,G76,E76,B$29,2,1)</f>
        <v>29.837109374999983</v>
      </c>
      <c r="L76" s="43">
        <f aca="true" t="shared" si="7" ref="L76:L83">0.75*J76+0.25*K76</f>
        <v>95.09800781250001</v>
      </c>
      <c r="M76" s="46">
        <f aca="true" t="shared" si="8" ref="M76:M83">contr(F76,G76,E76,B$29,3,1)</f>
        <v>2.4</v>
      </c>
      <c r="N76" s="48">
        <f aca="true" t="shared" si="9" ref="N76:N83">contr(F76,G76,E76,B$29,2,2)</f>
        <v>91.4211214694554</v>
      </c>
      <c r="O76" s="46">
        <f aca="true" t="shared" si="10" ref="O76:O83">contr(F76,G76,E76,B$29,3,2)</f>
        <v>1.9254467367129378</v>
      </c>
      <c r="AC76" s="71"/>
      <c r="AD76" s="68"/>
      <c r="AE76" s="68"/>
      <c r="AF76" s="75"/>
      <c r="AG76" s="75"/>
      <c r="AH76" s="75"/>
      <c r="AI76" s="75"/>
      <c r="AJ76" s="75"/>
      <c r="AK76" s="75"/>
      <c r="AL76" s="72"/>
      <c r="AR76" s="71"/>
      <c r="AS76" s="68"/>
      <c r="AT76" s="68"/>
      <c r="AU76" s="68"/>
      <c r="AV76" s="68"/>
      <c r="AW76" s="68"/>
      <c r="AX76" s="68"/>
      <c r="AY76" s="68"/>
      <c r="AZ76" s="68"/>
      <c r="BA76" s="72"/>
    </row>
    <row r="77" spans="1:53" ht="12">
      <c r="A77" s="109">
        <v>2</v>
      </c>
      <c r="B77" s="2">
        <f>B$12</f>
        <v>5</v>
      </c>
      <c r="C77" s="2" t="s">
        <v>89</v>
      </c>
      <c r="D77" s="2" t="s">
        <v>88</v>
      </c>
      <c r="E77" s="43">
        <f>E76</f>
        <v>176.0265</v>
      </c>
      <c r="F77" s="45">
        <f>G41</f>
        <v>77.256</v>
      </c>
      <c r="G77" s="45">
        <f>G76</f>
        <v>275.758425</v>
      </c>
      <c r="H77" s="46">
        <f t="shared" si="3"/>
        <v>1.127684894035841</v>
      </c>
      <c r="I77" s="44">
        <f t="shared" si="4"/>
        <v>-0.03013129415173288</v>
      </c>
      <c r="J77" s="47">
        <f t="shared" si="5"/>
        <v>86.60414062500001</v>
      </c>
      <c r="K77" s="48">
        <f t="shared" si="6"/>
        <v>60.08460937499998</v>
      </c>
      <c r="L77" s="43">
        <f t="shared" si="7"/>
        <v>79.9742578125</v>
      </c>
      <c r="M77" s="46">
        <f t="shared" si="8"/>
        <v>2.4</v>
      </c>
      <c r="N77" s="48">
        <f t="shared" si="9"/>
        <v>78.04773342756393</v>
      </c>
      <c r="O77" s="46">
        <f t="shared" si="10"/>
        <v>2.255369788071682</v>
      </c>
      <c r="AB77" s="1">
        <v>1</v>
      </c>
      <c r="AC77" s="71">
        <f>xy(X89,Y89,Z89,$B$29,AB77)</f>
        <v>0</v>
      </c>
      <c r="AD77" s="68"/>
      <c r="AE77" s="68">
        <v>0</v>
      </c>
      <c r="AF77" s="75"/>
      <c r="AG77" s="75"/>
      <c r="AH77" s="75"/>
      <c r="AI77" s="75"/>
      <c r="AJ77" s="75"/>
      <c r="AK77" s="75"/>
      <c r="AL77" s="72"/>
      <c r="AM77" s="1">
        <f>INDEX(J77:O77,1,1)</f>
        <v>86.60414062500001</v>
      </c>
      <c r="AN77" s="1">
        <f>INDEX(J77:O77,1,2)</f>
        <v>60.08460937499998</v>
      </c>
      <c r="AO77" s="1">
        <f>INDEX(J77:O77,1,5)</f>
        <v>78.04773342756393</v>
      </c>
      <c r="AP77" s="1">
        <f>INDEX(J77:O77,1,6)</f>
        <v>2.255369788071682</v>
      </c>
      <c r="AR77" s="71">
        <f>yx(AM77,AN77,AO77,AP77,$B$29,AB77)</f>
        <v>0</v>
      </c>
      <c r="AS77" s="68"/>
      <c r="AT77" s="68">
        <v>0</v>
      </c>
      <c r="AU77" s="68"/>
      <c r="AV77" s="68"/>
      <c r="AW77" s="68"/>
      <c r="AX77" s="68"/>
      <c r="AY77" s="68"/>
      <c r="AZ77" s="68"/>
      <c r="BA77" s="72"/>
    </row>
    <row r="78" spans="1:53" ht="12">
      <c r="A78" s="109">
        <v>3</v>
      </c>
      <c r="B78" s="2">
        <f>B$12</f>
        <v>5</v>
      </c>
      <c r="C78" s="2" t="s">
        <v>88</v>
      </c>
      <c r="D78" s="2" t="s">
        <v>89</v>
      </c>
      <c r="E78" s="43">
        <f>F53</f>
        <v>129.39</v>
      </c>
      <c r="F78" s="45">
        <f>F76</f>
        <v>106.29360000000001</v>
      </c>
      <c r="G78" s="45">
        <f>G53</f>
        <v>202.31550000000001</v>
      </c>
      <c r="H78" s="46">
        <f t="shared" si="3"/>
        <v>0.7421122188731742</v>
      </c>
      <c r="I78" s="44">
        <f t="shared" si="4"/>
        <v>-0.19078657546951072</v>
      </c>
      <c r="J78" s="47">
        <f t="shared" si="5"/>
        <v>116.23578996041526</v>
      </c>
      <c r="K78" s="48">
        <f t="shared" si="6"/>
        <v>0</v>
      </c>
      <c r="L78" s="43">
        <f t="shared" si="7"/>
        <v>87.17684247031144</v>
      </c>
      <c r="M78" s="46">
        <f t="shared" si="8"/>
        <v>2.2263366566195226</v>
      </c>
      <c r="N78" s="48">
        <f t="shared" si="9"/>
        <v>87.17684247031144</v>
      </c>
      <c r="O78" s="46">
        <f t="shared" si="10"/>
        <v>1.4842244377463485</v>
      </c>
      <c r="AA78" s="66"/>
      <c r="AB78" s="1">
        <v>2</v>
      </c>
      <c r="AC78" s="71">
        <f>AC77</f>
        <v>0</v>
      </c>
      <c r="AD78" s="68"/>
      <c r="AE78" s="68">
        <f>xy(X89,Y89,Z89,$B$29,AB78)</f>
        <v>86.60414062500001</v>
      </c>
      <c r="AF78" s="75"/>
      <c r="AG78" s="75"/>
      <c r="AH78" s="75"/>
      <c r="AI78" s="75"/>
      <c r="AJ78" s="75"/>
      <c r="AK78" s="75"/>
      <c r="AL78" s="72"/>
      <c r="AR78" s="71">
        <f>AR77</f>
        <v>0</v>
      </c>
      <c r="AS78" s="68"/>
      <c r="AT78" s="68">
        <f>yx(AM77,AN77,AO77,AP77,$B$29,AB78)</f>
        <v>78.04773342756393</v>
      </c>
      <c r="AU78" s="68"/>
      <c r="AV78" s="68"/>
      <c r="AW78" s="68"/>
      <c r="AX78" s="68"/>
      <c r="AY78" s="68"/>
      <c r="AZ78" s="68"/>
      <c r="BA78" s="72"/>
    </row>
    <row r="79" spans="1:53" ht="12">
      <c r="A79" s="110">
        <v>4</v>
      </c>
      <c r="B79" s="2">
        <f>B$12</f>
        <v>5</v>
      </c>
      <c r="C79" s="2" t="s">
        <v>89</v>
      </c>
      <c r="D79" s="2" t="s">
        <v>89</v>
      </c>
      <c r="E79" s="43">
        <f>E78</f>
        <v>129.39</v>
      </c>
      <c r="F79" s="45">
        <f>F77</f>
        <v>77.256</v>
      </c>
      <c r="G79" s="45">
        <f>G78</f>
        <v>202.31550000000001</v>
      </c>
      <c r="H79" s="46">
        <f t="shared" si="3"/>
        <v>0.9665314166473454</v>
      </c>
      <c r="I79" s="44">
        <f t="shared" si="4"/>
        <v>-0.09727857639693938</v>
      </c>
      <c r="J79" s="47">
        <f t="shared" si="5"/>
        <v>85.37968749999996</v>
      </c>
      <c r="K79" s="48">
        <f t="shared" si="6"/>
        <v>22.445312500000032</v>
      </c>
      <c r="L79" s="43">
        <f t="shared" si="7"/>
        <v>69.64609374999999</v>
      </c>
      <c r="M79" s="46">
        <f t="shared" si="8"/>
        <v>2.4</v>
      </c>
      <c r="N79" s="48">
        <f t="shared" si="9"/>
        <v>66.93522723183763</v>
      </c>
      <c r="O79" s="46">
        <f t="shared" si="10"/>
        <v>1.9330628332946909</v>
      </c>
      <c r="AA79" s="66"/>
      <c r="AB79" s="1">
        <v>3</v>
      </c>
      <c r="AC79" s="71">
        <f>xy(X89,Y89,Z89,$B$29,AB79)</f>
        <v>2.4</v>
      </c>
      <c r="AD79" s="68"/>
      <c r="AE79" s="68">
        <f>xy(X89,Y89,Z89,$B$29,AB80)</f>
        <v>60.08460937499998</v>
      </c>
      <c r="AF79" s="75"/>
      <c r="AG79" s="75"/>
      <c r="AH79" s="75"/>
      <c r="AI79" s="75"/>
      <c r="AJ79" s="75"/>
      <c r="AK79" s="75"/>
      <c r="AL79" s="72"/>
      <c r="AR79" s="73">
        <f>yx(AM77,AN77,AO77,AP77,$B$29,AB79)</f>
        <v>2.255369788071682</v>
      </c>
      <c r="AS79" s="68"/>
      <c r="AT79" s="68">
        <f>yx(AM77,AN77,AO77,AP77,$B$29,AB80)</f>
        <v>78.04773342756393</v>
      </c>
      <c r="AU79" s="68"/>
      <c r="AV79" s="68"/>
      <c r="AW79" s="68"/>
      <c r="AX79" s="68"/>
      <c r="AY79" s="68"/>
      <c r="AZ79" s="68"/>
      <c r="BA79" s="72"/>
    </row>
    <row r="80" spans="1:53" ht="12">
      <c r="A80" s="111">
        <v>5</v>
      </c>
      <c r="B80" s="2">
        <v>0</v>
      </c>
      <c r="C80" s="2" t="s">
        <v>88</v>
      </c>
      <c r="D80" s="2" t="s">
        <v>88</v>
      </c>
      <c r="E80" s="43">
        <f>I51</f>
        <v>162.5265</v>
      </c>
      <c r="F80" s="45">
        <f>J39</f>
        <v>86.31360000000001</v>
      </c>
      <c r="G80" s="45">
        <f>J51</f>
        <v>249.433425</v>
      </c>
      <c r="H80" s="46">
        <f t="shared" si="3"/>
        <v>1.0036506354348367</v>
      </c>
      <c r="I80" s="44">
        <f t="shared" si="4"/>
        <v>-0.0818122352354847</v>
      </c>
      <c r="J80" s="47">
        <f t="shared" si="5"/>
        <v>100.96101562500002</v>
      </c>
      <c r="K80" s="48">
        <f t="shared" si="6"/>
        <v>34.47773437499999</v>
      </c>
      <c r="L80" s="43">
        <f t="shared" si="7"/>
        <v>84.34019531250001</v>
      </c>
      <c r="M80" s="46">
        <f t="shared" si="8"/>
        <v>2.4</v>
      </c>
      <c r="N80" s="48">
        <f t="shared" si="9"/>
        <v>80.96766656735318</v>
      </c>
      <c r="O80" s="46">
        <f t="shared" si="10"/>
        <v>2.0073012708696734</v>
      </c>
      <c r="AB80" s="1">
        <v>4</v>
      </c>
      <c r="AC80" s="71">
        <f>AC79</f>
        <v>2.4</v>
      </c>
      <c r="AD80" s="68"/>
      <c r="AE80" s="68">
        <v>0</v>
      </c>
      <c r="AF80" s="75"/>
      <c r="AG80" s="75"/>
      <c r="AH80" s="75"/>
      <c r="AI80" s="75"/>
      <c r="AJ80" s="75"/>
      <c r="AK80" s="75"/>
      <c r="AL80" s="72"/>
      <c r="AR80" s="71">
        <f>AR79</f>
        <v>2.255369788071682</v>
      </c>
      <c r="AS80" s="68"/>
      <c r="AT80" s="68">
        <v>0</v>
      </c>
      <c r="AU80" s="68"/>
      <c r="AV80" s="68"/>
      <c r="AW80" s="68"/>
      <c r="AX80" s="68"/>
      <c r="AY80" s="68"/>
      <c r="AZ80" s="68"/>
      <c r="BA80" s="72"/>
    </row>
    <row r="81" spans="1:53" ht="12">
      <c r="A81" s="111">
        <v>6</v>
      </c>
      <c r="B81" s="2">
        <v>0</v>
      </c>
      <c r="C81" s="2" t="s">
        <v>89</v>
      </c>
      <c r="D81" s="2" t="s">
        <v>88</v>
      </c>
      <c r="E81" s="43">
        <f>E80</f>
        <v>162.5265</v>
      </c>
      <c r="F81" s="45">
        <f>G39</f>
        <v>63.93600000000001</v>
      </c>
      <c r="G81" s="45">
        <f>G80</f>
        <v>249.433425</v>
      </c>
      <c r="H81" s="46">
        <f t="shared" si="3"/>
        <v>1.141336489741673</v>
      </c>
      <c r="I81" s="44">
        <f t="shared" si="4"/>
        <v>-0.02444312927430292</v>
      </c>
      <c r="J81" s="47">
        <f t="shared" si="5"/>
        <v>77.65101562499999</v>
      </c>
      <c r="K81" s="48">
        <f t="shared" si="6"/>
        <v>57.787734375000014</v>
      </c>
      <c r="L81" s="43">
        <f t="shared" si="7"/>
        <v>72.68519531249999</v>
      </c>
      <c r="M81" s="46">
        <f t="shared" si="8"/>
        <v>2.4</v>
      </c>
      <c r="N81" s="48">
        <f t="shared" si="9"/>
        <v>71.20008054626635</v>
      </c>
      <c r="O81" s="46">
        <f t="shared" si="10"/>
        <v>2.282672979483346</v>
      </c>
      <c r="AC81" s="71"/>
      <c r="AD81" s="68"/>
      <c r="AE81" s="68"/>
      <c r="AF81" s="75"/>
      <c r="AG81" s="75"/>
      <c r="AH81" s="75"/>
      <c r="AI81" s="75"/>
      <c r="AJ81" s="75"/>
      <c r="AK81" s="75"/>
      <c r="AL81" s="72"/>
      <c r="AR81" s="71"/>
      <c r="AS81" s="68"/>
      <c r="AT81" s="68"/>
      <c r="AU81" s="68"/>
      <c r="AV81" s="68"/>
      <c r="AW81" s="68"/>
      <c r="AX81" s="68"/>
      <c r="AY81" s="68"/>
      <c r="AZ81" s="68"/>
      <c r="BA81" s="72"/>
    </row>
    <row r="82" spans="1:53" ht="12">
      <c r="A82" s="111">
        <v>7</v>
      </c>
      <c r="B82" s="2">
        <v>0</v>
      </c>
      <c r="C82" s="2" t="s">
        <v>88</v>
      </c>
      <c r="D82" s="2" t="s">
        <v>89</v>
      </c>
      <c r="E82" s="43">
        <f>F51</f>
        <v>120.39</v>
      </c>
      <c r="F82" s="45">
        <f>F80</f>
        <v>86.31360000000001</v>
      </c>
      <c r="G82" s="45">
        <f>G51</f>
        <v>184.7655</v>
      </c>
      <c r="H82" s="46">
        <f t="shared" si="3"/>
        <v>0.817774732120608</v>
      </c>
      <c r="I82" s="44">
        <f t="shared" si="4"/>
        <v>-0.15926052828307996</v>
      </c>
      <c r="J82" s="47">
        <f t="shared" si="5"/>
        <v>98.0959375</v>
      </c>
      <c r="K82" s="48">
        <f t="shared" si="6"/>
        <v>2.229062500000009</v>
      </c>
      <c r="L82" s="43">
        <f t="shared" si="7"/>
        <v>74.12921875</v>
      </c>
      <c r="M82" s="46">
        <f t="shared" si="8"/>
        <v>2.4</v>
      </c>
      <c r="N82" s="48">
        <f t="shared" si="9"/>
        <v>73.60829044436927</v>
      </c>
      <c r="O82" s="46">
        <f t="shared" si="10"/>
        <v>1.635549464241216</v>
      </c>
      <c r="AB82" s="1">
        <v>1</v>
      </c>
      <c r="AC82" s="71">
        <f>xy(X90,Y90,Z90,$B$29,AB82)</f>
        <v>0</v>
      </c>
      <c r="AD82" s="68"/>
      <c r="AE82" s="68"/>
      <c r="AF82" s="68">
        <v>0</v>
      </c>
      <c r="AG82" s="75"/>
      <c r="AH82" s="75"/>
      <c r="AI82" s="75"/>
      <c r="AJ82" s="75"/>
      <c r="AK82" s="75"/>
      <c r="AL82" s="72"/>
      <c r="AM82" s="1">
        <f>INDEX(J78:O78,1,1)</f>
        <v>116.23578996041526</v>
      </c>
      <c r="AN82" s="1">
        <f>INDEX(J78:O78,1,2)</f>
        <v>0</v>
      </c>
      <c r="AO82" s="1">
        <f>INDEX(J78:O78,1,5)</f>
        <v>87.17684247031144</v>
      </c>
      <c r="AP82" s="1">
        <f>INDEX(J78:O78,1,6)</f>
        <v>1.4842244377463485</v>
      </c>
      <c r="AR82" s="71">
        <f>yx(AM82,AN82,AO82,AP82,$B$29,AB82)</f>
        <v>0</v>
      </c>
      <c r="AS82" s="68"/>
      <c r="AT82" s="68"/>
      <c r="AU82" s="68">
        <v>0</v>
      </c>
      <c r="AV82" s="68"/>
      <c r="AW82" s="68"/>
      <c r="AX82" s="68"/>
      <c r="AY82" s="68"/>
      <c r="AZ82" s="68"/>
      <c r="BA82" s="72"/>
    </row>
    <row r="83" spans="1:53" ht="12">
      <c r="A83" s="111">
        <v>8</v>
      </c>
      <c r="B83" s="2">
        <v>0</v>
      </c>
      <c r="C83" s="2" t="s">
        <v>89</v>
      </c>
      <c r="D83" s="2" t="s">
        <v>89</v>
      </c>
      <c r="E83" s="2">
        <f>E82</f>
        <v>120.39</v>
      </c>
      <c r="F83" s="5">
        <f>F81</f>
        <v>63.93600000000001</v>
      </c>
      <c r="G83" s="5">
        <f>G82</f>
        <v>184.7655</v>
      </c>
      <c r="H83" s="16">
        <f t="shared" si="3"/>
        <v>1.0036506354348367</v>
      </c>
      <c r="I83" s="40">
        <f t="shared" si="4"/>
        <v>-0.0818122352354847</v>
      </c>
      <c r="J83" s="49">
        <f t="shared" si="5"/>
        <v>74.78593750000002</v>
      </c>
      <c r="K83" s="50">
        <f t="shared" si="6"/>
        <v>25.539062499999993</v>
      </c>
      <c r="L83" s="2">
        <f t="shared" si="7"/>
        <v>62.47421875000001</v>
      </c>
      <c r="M83" s="16">
        <f t="shared" si="8"/>
        <v>2.4</v>
      </c>
      <c r="N83" s="50">
        <f t="shared" si="9"/>
        <v>59.976049309150504</v>
      </c>
      <c r="O83" s="16">
        <f t="shared" si="10"/>
        <v>2.0073012708696734</v>
      </c>
      <c r="AA83" s="66"/>
      <c r="AB83" s="1">
        <v>2</v>
      </c>
      <c r="AC83" s="71">
        <f>AC82</f>
        <v>0</v>
      </c>
      <c r="AD83" s="68"/>
      <c r="AE83" s="68"/>
      <c r="AF83" s="68">
        <f>xy(X90,Y90,Z90,$B$29,AB83)</f>
        <v>116.23578996041526</v>
      </c>
      <c r="AG83" s="75"/>
      <c r="AH83" s="75"/>
      <c r="AI83" s="75"/>
      <c r="AJ83" s="75"/>
      <c r="AK83" s="75"/>
      <c r="AL83" s="72"/>
      <c r="AR83" s="71">
        <f>AR82</f>
        <v>0</v>
      </c>
      <c r="AS83" s="68"/>
      <c r="AT83" s="68"/>
      <c r="AU83" s="68">
        <f>yx(AM82,AN82,AO82,AP82,$B$29,AB83)</f>
        <v>87.17684247031144</v>
      </c>
      <c r="AV83" s="68"/>
      <c r="AW83" s="68"/>
      <c r="AX83" s="68"/>
      <c r="AY83" s="68"/>
      <c r="AZ83" s="68"/>
      <c r="BA83" s="72"/>
    </row>
    <row r="84" spans="9:53" ht="13.5">
      <c r="I84" s="42" t="s">
        <v>101</v>
      </c>
      <c r="J84" s="51">
        <f>MAX(J76:K83)</f>
        <v>116.85164062500002</v>
      </c>
      <c r="K84" s="7" t="s">
        <v>107</v>
      </c>
      <c r="M84" s="42" t="s">
        <v>101</v>
      </c>
      <c r="N84" s="51">
        <f>MAX(N76:N83)</f>
        <v>91.4211214694554</v>
      </c>
      <c r="O84" t="s">
        <v>107</v>
      </c>
      <c r="AA84" s="66"/>
      <c r="AB84" s="1">
        <v>3</v>
      </c>
      <c r="AC84" s="71">
        <f>xy(X90,Y90,Z90,$B$29,AB84)</f>
        <v>2.2263366566195226</v>
      </c>
      <c r="AD84" s="68"/>
      <c r="AE84" s="68"/>
      <c r="AF84" s="68">
        <f>xy(X90,Y90,Z90,$B$29,AB85)</f>
        <v>0</v>
      </c>
      <c r="AG84" s="75"/>
      <c r="AH84" s="75"/>
      <c r="AI84" s="75"/>
      <c r="AJ84" s="75"/>
      <c r="AK84" s="75"/>
      <c r="AL84" s="72"/>
      <c r="AR84" s="73">
        <f>yx(AM82,AN82,AO82,AP82,$B$29,AB84)</f>
        <v>1.4842244377463485</v>
      </c>
      <c r="AS84" s="68"/>
      <c r="AT84" s="68"/>
      <c r="AU84" s="68">
        <f>yx(AM82,AN82,AO82,AP82,$B$29,AB85)</f>
        <v>87.17684247031144</v>
      </c>
      <c r="AV84" s="68"/>
      <c r="AW84" s="68"/>
      <c r="AX84" s="68"/>
      <c r="AY84" s="68"/>
      <c r="AZ84" s="68"/>
      <c r="BA84" s="72"/>
    </row>
    <row r="85" spans="3:53" ht="13.5">
      <c r="C85"/>
      <c r="I85" s="39" t="s">
        <v>102</v>
      </c>
      <c r="J85" s="50">
        <f>MAX(L76:L83)</f>
        <v>95.09800781250001</v>
      </c>
      <c r="K85" s="7" t="s">
        <v>107</v>
      </c>
      <c r="AB85" s="1">
        <v>4</v>
      </c>
      <c r="AC85" s="71">
        <f>AC84</f>
        <v>2.2263366566195226</v>
      </c>
      <c r="AD85" s="68"/>
      <c r="AE85" s="68"/>
      <c r="AF85" s="68">
        <v>0</v>
      </c>
      <c r="AG85" s="75"/>
      <c r="AH85" s="75"/>
      <c r="AI85" s="75"/>
      <c r="AJ85" s="75"/>
      <c r="AK85" s="75"/>
      <c r="AL85" s="72"/>
      <c r="AR85" s="71">
        <f>AR84</f>
        <v>1.4842244377463485</v>
      </c>
      <c r="AS85" s="68"/>
      <c r="AT85" s="68"/>
      <c r="AU85" s="68">
        <v>0</v>
      </c>
      <c r="AV85" s="68"/>
      <c r="AW85" s="68"/>
      <c r="AX85" s="68"/>
      <c r="AY85" s="68"/>
      <c r="AZ85" s="68"/>
      <c r="BA85" s="72"/>
    </row>
    <row r="86" spans="3:53" ht="12">
      <c r="C86" s="15"/>
      <c r="AC86" s="71"/>
      <c r="AD86" s="68"/>
      <c r="AE86" s="68"/>
      <c r="AF86" s="75"/>
      <c r="AG86" s="75"/>
      <c r="AH86" s="75"/>
      <c r="AI86" s="75"/>
      <c r="AJ86" s="75"/>
      <c r="AK86" s="75"/>
      <c r="AL86" s="72"/>
      <c r="AR86" s="71"/>
      <c r="AS86" s="68"/>
      <c r="AT86" s="68"/>
      <c r="AU86" s="68"/>
      <c r="AV86" s="68"/>
      <c r="AW86" s="68"/>
      <c r="AX86" s="68"/>
      <c r="AY86" s="68"/>
      <c r="AZ86" s="68"/>
      <c r="BA86" s="72"/>
    </row>
    <row r="87" spans="1:53" ht="13.5">
      <c r="A87" s="54" t="s">
        <v>110</v>
      </c>
      <c r="X87" s="38" t="s">
        <v>91</v>
      </c>
      <c r="Y87" s="38" t="s">
        <v>92</v>
      </c>
      <c r="Z87" s="13" t="s">
        <v>93</v>
      </c>
      <c r="AB87" s="1">
        <v>1</v>
      </c>
      <c r="AC87" s="71">
        <f>xy(X91,Y91,Z91,$B$29,AB87)</f>
        <v>0</v>
      </c>
      <c r="AD87" s="68"/>
      <c r="AE87" s="68"/>
      <c r="AF87" s="75"/>
      <c r="AG87" s="68">
        <v>0</v>
      </c>
      <c r="AH87" s="75"/>
      <c r="AI87" s="75"/>
      <c r="AJ87" s="75"/>
      <c r="AK87" s="75"/>
      <c r="AL87" s="72"/>
      <c r="AM87" s="1">
        <f>INDEX(J79:O79,1,1)</f>
        <v>85.37968749999996</v>
      </c>
      <c r="AN87" s="1">
        <f>INDEX(J79:O79,1,2)</f>
        <v>22.445312500000032</v>
      </c>
      <c r="AO87" s="1">
        <f>INDEX(J79:O79,1,5)</f>
        <v>66.93522723183763</v>
      </c>
      <c r="AP87" s="1">
        <f>INDEX(J79:O79,1,6)</f>
        <v>1.9330628332946909</v>
      </c>
      <c r="AR87" s="71">
        <f>yx(AM87,AN87,AO87,AP87,$B$29,AB87)</f>
        <v>0</v>
      </c>
      <c r="AS87" s="68"/>
      <c r="AT87" s="68"/>
      <c r="AU87" s="68"/>
      <c r="AV87" s="68">
        <v>0</v>
      </c>
      <c r="AW87" s="68"/>
      <c r="AX87" s="68"/>
      <c r="AY87" s="68"/>
      <c r="AZ87" s="68"/>
      <c r="BA87" s="72"/>
    </row>
    <row r="88" spans="1:53" ht="13.5">
      <c r="A88" s="6" t="s">
        <v>111</v>
      </c>
      <c r="B88" s="2">
        <f>MIN(B11,B31-B8)</f>
        <v>3.7</v>
      </c>
      <c r="C88" s="7" t="s">
        <v>22</v>
      </c>
      <c r="D88" s="58" t="s">
        <v>140</v>
      </c>
      <c r="W88" s="68"/>
      <c r="X88" s="80">
        <f aca="true" t="shared" si="11" ref="X88:Y91">J76</f>
        <v>116.85164062500002</v>
      </c>
      <c r="Y88" s="77">
        <f t="shared" si="11"/>
        <v>29.837109374999983</v>
      </c>
      <c r="Z88" s="81">
        <f aca="true" t="shared" si="12" ref="Z88:Z95">M76</f>
        <v>2.4</v>
      </c>
      <c r="AA88" s="79"/>
      <c r="AB88" s="1">
        <v>2</v>
      </c>
      <c r="AC88" s="71">
        <f>AC87</f>
        <v>0</v>
      </c>
      <c r="AD88" s="68"/>
      <c r="AE88" s="68"/>
      <c r="AF88" s="75"/>
      <c r="AG88" s="68">
        <f>xy(X91,Y91,Z91,$B$29,AB88)</f>
        <v>85.37968749999996</v>
      </c>
      <c r="AH88" s="75"/>
      <c r="AI88" s="75"/>
      <c r="AJ88" s="75"/>
      <c r="AK88" s="75"/>
      <c r="AL88" s="72"/>
      <c r="AR88" s="71">
        <f>AR87</f>
        <v>0</v>
      </c>
      <c r="AS88" s="68"/>
      <c r="AT88" s="68"/>
      <c r="AU88" s="68"/>
      <c r="AV88" s="68">
        <f>yx(AM87,AN87,AO87,AP87,$B$29,AB88)</f>
        <v>66.93522723183763</v>
      </c>
      <c r="AW88" s="68"/>
      <c r="AX88" s="68"/>
      <c r="AY88" s="68"/>
      <c r="AZ88" s="68"/>
      <c r="BA88" s="72"/>
    </row>
    <row r="89" spans="1:53" ht="13.5">
      <c r="A89" s="6" t="s">
        <v>18</v>
      </c>
      <c r="B89" s="2">
        <f>B17*B32*B16*B88^3/6+B18*B32*B12*B88^2/2</f>
        <v>85.40855595000002</v>
      </c>
      <c r="C89" s="7" t="s">
        <v>23</v>
      </c>
      <c r="D89" s="58" t="s">
        <v>137</v>
      </c>
      <c r="W89" s="68"/>
      <c r="X89" s="78">
        <f t="shared" si="11"/>
        <v>86.60414062500001</v>
      </c>
      <c r="Y89" s="79">
        <f t="shared" si="11"/>
        <v>60.08460937499998</v>
      </c>
      <c r="Z89" s="82">
        <f t="shared" si="12"/>
        <v>2.4</v>
      </c>
      <c r="AB89" s="1">
        <v>3</v>
      </c>
      <c r="AC89" s="71">
        <f>xy(X91,Y91,Z91,$B$29,AB89)</f>
        <v>2.4</v>
      </c>
      <c r="AD89" s="68"/>
      <c r="AE89" s="68"/>
      <c r="AF89" s="75"/>
      <c r="AG89" s="68">
        <f>xy(X91,Y91,Z91,$B$29,AB90)</f>
        <v>22.445312500000032</v>
      </c>
      <c r="AH89" s="75"/>
      <c r="AI89" s="75"/>
      <c r="AJ89" s="75"/>
      <c r="AK89" s="75"/>
      <c r="AL89" s="72"/>
      <c r="AR89" s="73">
        <f>yx(AM87,AN87,AO87,AP87,$B$29,AB89)</f>
        <v>1.9330628332946909</v>
      </c>
      <c r="AS89" s="68"/>
      <c r="AT89" s="68"/>
      <c r="AU89" s="68"/>
      <c r="AV89" s="68">
        <f>yx(AM87,AN87,AO87,AP87,$B$29,AB90)</f>
        <v>66.93522723183763</v>
      </c>
      <c r="AW89" s="68"/>
      <c r="AX89" s="68"/>
      <c r="AY89" s="68"/>
      <c r="AZ89" s="68"/>
      <c r="BA89" s="72"/>
    </row>
    <row r="90" spans="1:53" ht="12">
      <c r="A90" s="6" t="s">
        <v>128</v>
      </c>
      <c r="B90" s="2">
        <f>B6-B22/1000</f>
        <v>0.255</v>
      </c>
      <c r="C90" s="7" t="s">
        <v>22</v>
      </c>
      <c r="D90" s="7"/>
      <c r="W90" s="68"/>
      <c r="X90" s="78">
        <f t="shared" si="11"/>
        <v>116.23578996041526</v>
      </c>
      <c r="Y90" s="79">
        <f t="shared" si="11"/>
        <v>0</v>
      </c>
      <c r="Z90" s="82">
        <f t="shared" si="12"/>
        <v>2.2263366566195226</v>
      </c>
      <c r="AB90" s="1">
        <v>4</v>
      </c>
      <c r="AC90" s="71">
        <f>AC89</f>
        <v>2.4</v>
      </c>
      <c r="AD90" s="68"/>
      <c r="AE90" s="68"/>
      <c r="AF90" s="75"/>
      <c r="AG90" s="68">
        <v>0</v>
      </c>
      <c r="AH90" s="75"/>
      <c r="AI90" s="75"/>
      <c r="AJ90" s="75"/>
      <c r="AK90" s="75"/>
      <c r="AL90" s="72"/>
      <c r="AR90" s="71">
        <f>AR89</f>
        <v>1.9330628332946909</v>
      </c>
      <c r="AS90" s="68"/>
      <c r="AT90" s="68"/>
      <c r="AU90" s="68"/>
      <c r="AV90" s="68">
        <v>0</v>
      </c>
      <c r="AW90" s="68"/>
      <c r="AX90" s="68"/>
      <c r="AY90" s="68"/>
      <c r="AZ90" s="68"/>
      <c r="BA90" s="72"/>
    </row>
    <row r="91" spans="1:53" ht="12">
      <c r="A91" s="55" t="s">
        <v>22</v>
      </c>
      <c r="B91" s="2">
        <f>B89/1000/B90^2/L21</f>
        <v>0.07880835612456749</v>
      </c>
      <c r="C91" s="7" t="s">
        <v>129</v>
      </c>
      <c r="D91" s="7" t="str">
        <f>IF(B91&lt;0.37,"OK","KO")</f>
        <v>OK</v>
      </c>
      <c r="W91" s="68"/>
      <c r="X91" s="78">
        <f t="shared" si="11"/>
        <v>85.37968749999996</v>
      </c>
      <c r="Y91" s="79">
        <f t="shared" si="11"/>
        <v>22.445312500000032</v>
      </c>
      <c r="Z91" s="82">
        <f t="shared" si="12"/>
        <v>2.4</v>
      </c>
      <c r="AC91" s="71"/>
      <c r="AD91" s="68"/>
      <c r="AE91" s="68"/>
      <c r="AF91" s="75"/>
      <c r="AG91" s="75"/>
      <c r="AH91" s="75"/>
      <c r="AI91" s="75"/>
      <c r="AJ91" s="75"/>
      <c r="AK91" s="75"/>
      <c r="AL91" s="72"/>
      <c r="AR91" s="71"/>
      <c r="AS91" s="68"/>
      <c r="AT91" s="68"/>
      <c r="AU91" s="68"/>
      <c r="AV91" s="68"/>
      <c r="AW91" s="68"/>
      <c r="AX91" s="68"/>
      <c r="AY91" s="68"/>
      <c r="AZ91" s="68"/>
      <c r="BA91" s="72"/>
    </row>
    <row r="92" spans="1:53" ht="13.5">
      <c r="A92" s="55" t="s">
        <v>130</v>
      </c>
      <c r="B92" s="2">
        <f>1.25*(1-SQRT(1-2*B91))</f>
        <v>0.10273198985122634</v>
      </c>
      <c r="D92" s="59" t="s">
        <v>138</v>
      </c>
      <c r="W92" s="68"/>
      <c r="X92" s="78">
        <f aca="true" t="shared" si="13" ref="X92:Y95">J80</f>
        <v>100.96101562500002</v>
      </c>
      <c r="Y92" s="79">
        <f t="shared" si="13"/>
        <v>34.47773437499999</v>
      </c>
      <c r="Z92" s="82">
        <f t="shared" si="12"/>
        <v>2.4</v>
      </c>
      <c r="AB92" s="1">
        <v>1</v>
      </c>
      <c r="AC92" s="71">
        <f>xy(X92,Y92,Z92,$B$29,AB92)</f>
        <v>0</v>
      </c>
      <c r="AD92" s="68"/>
      <c r="AE92" s="75"/>
      <c r="AF92" s="75"/>
      <c r="AG92" s="75"/>
      <c r="AH92" s="68">
        <v>0</v>
      </c>
      <c r="AI92" s="75"/>
      <c r="AJ92" s="75"/>
      <c r="AK92" s="75"/>
      <c r="AL92" s="72"/>
      <c r="AM92" s="1">
        <f>INDEX(J80:O80,1,1)</f>
        <v>100.96101562500002</v>
      </c>
      <c r="AN92" s="1">
        <f>INDEX(J80:O80,1,2)</f>
        <v>34.47773437499999</v>
      </c>
      <c r="AO92" s="1">
        <f>INDEX(J80:O80,1,5)</f>
        <v>80.96766656735318</v>
      </c>
      <c r="AP92" s="1">
        <f>INDEX(J80:O80,1,6)</f>
        <v>2.0073012708696734</v>
      </c>
      <c r="AR92" s="71">
        <f>yx(AM92,AN92,AO92,AP92,$B$29,AB92)</f>
        <v>0</v>
      </c>
      <c r="AS92" s="68"/>
      <c r="AT92" s="68"/>
      <c r="AU92" s="68"/>
      <c r="AV92" s="68"/>
      <c r="AW92" s="68">
        <v>0</v>
      </c>
      <c r="AX92" s="68"/>
      <c r="AY92" s="68"/>
      <c r="AZ92" s="68"/>
      <c r="BA92" s="72"/>
    </row>
    <row r="93" spans="1:53" ht="13.5">
      <c r="A93" s="55" t="s">
        <v>132</v>
      </c>
      <c r="B93" s="2">
        <f>3.5*(1-B92)/B92</f>
        <v>30.569232038322284</v>
      </c>
      <c r="C93" s="1" t="str">
        <f>"≤ "&amp;0.9*T$21&amp;" ?"</f>
        <v>≤ 22,5 ?</v>
      </c>
      <c r="D93" s="58" t="s">
        <v>131</v>
      </c>
      <c r="H93" s="7"/>
      <c r="W93" s="68"/>
      <c r="X93" s="78">
        <f t="shared" si="13"/>
        <v>77.65101562499999</v>
      </c>
      <c r="Y93" s="79">
        <f t="shared" si="13"/>
        <v>57.787734375000014</v>
      </c>
      <c r="Z93" s="82">
        <f t="shared" si="12"/>
        <v>2.4</v>
      </c>
      <c r="AB93" s="1">
        <v>2</v>
      </c>
      <c r="AC93" s="71">
        <f>AC92</f>
        <v>0</v>
      </c>
      <c r="AD93" s="68"/>
      <c r="AE93" s="75"/>
      <c r="AF93" s="75"/>
      <c r="AG93" s="75"/>
      <c r="AH93" s="68">
        <f>xy(X92,Y92,Z92,$B$29,AB93)</f>
        <v>100.96101562500002</v>
      </c>
      <c r="AI93" s="75"/>
      <c r="AJ93" s="75"/>
      <c r="AK93" s="75"/>
      <c r="AL93" s="72"/>
      <c r="AR93" s="71">
        <f>AR92</f>
        <v>0</v>
      </c>
      <c r="AS93" s="68"/>
      <c r="AT93" s="68"/>
      <c r="AU93" s="68"/>
      <c r="AV93" s="68"/>
      <c r="AW93" s="68">
        <f>yx(AM92,AN92,AO92,AP92,$B$29,AB93)</f>
        <v>80.96766656735318</v>
      </c>
      <c r="AX93" s="68"/>
      <c r="AY93" s="68"/>
      <c r="AZ93" s="68"/>
      <c r="BA93" s="72"/>
    </row>
    <row r="94" spans="1:53" ht="13.5">
      <c r="A94" s="55" t="s">
        <v>133</v>
      </c>
      <c r="B94" s="2">
        <f>L22*(1+(T22-1)*(MIN(0.9*T21,B93)-eso)/(T21-eso))</f>
        <v>454.14078674948246</v>
      </c>
      <c r="C94" s="7" t="s">
        <v>97</v>
      </c>
      <c r="D94" s="7" t="s">
        <v>143</v>
      </c>
      <c r="W94" s="68"/>
      <c r="X94" s="78">
        <f t="shared" si="13"/>
        <v>98.0959375</v>
      </c>
      <c r="Y94" s="79">
        <f t="shared" si="13"/>
        <v>2.229062500000009</v>
      </c>
      <c r="Z94" s="82">
        <f t="shared" si="12"/>
        <v>2.4</v>
      </c>
      <c r="AB94" s="1">
        <v>3</v>
      </c>
      <c r="AC94" s="71">
        <f>xy(X92,Y92,Z92,$B$29,AB94)</f>
        <v>2.4</v>
      </c>
      <c r="AD94" s="68"/>
      <c r="AE94" s="75"/>
      <c r="AF94" s="75"/>
      <c r="AG94" s="75"/>
      <c r="AH94" s="68">
        <f>xy(X92,Y92,Z92,$B$29,AB95)</f>
        <v>34.47773437499999</v>
      </c>
      <c r="AI94" s="75"/>
      <c r="AJ94" s="75"/>
      <c r="AK94" s="75"/>
      <c r="AL94" s="72"/>
      <c r="AR94" s="73">
        <f>yx(AM92,AN92,AO92,AP92,$B$29,AB94)</f>
        <v>2.0073012708696734</v>
      </c>
      <c r="AS94" s="68"/>
      <c r="AT94" s="68"/>
      <c r="AU94" s="68"/>
      <c r="AV94" s="68"/>
      <c r="AW94" s="68">
        <f>yx(AM92,AN92,AO92,AP92,$B$29,AB95)</f>
        <v>80.96766656735318</v>
      </c>
      <c r="AX94" s="68"/>
      <c r="AY94" s="68"/>
      <c r="AZ94" s="68"/>
      <c r="BA94" s="72"/>
    </row>
    <row r="95" spans="1:53" ht="12">
      <c r="A95" s="6" t="s">
        <v>134</v>
      </c>
      <c r="B95" s="2">
        <f>B90*(1-0.4*B92)</f>
        <v>0.24452133703517492</v>
      </c>
      <c r="C95" s="7" t="s">
        <v>22</v>
      </c>
      <c r="D95" s="58" t="s">
        <v>142</v>
      </c>
      <c r="W95" s="68"/>
      <c r="X95" s="83">
        <f t="shared" si="13"/>
        <v>74.78593750000002</v>
      </c>
      <c r="Y95" s="84">
        <f t="shared" si="13"/>
        <v>25.539062499999993</v>
      </c>
      <c r="Z95" s="85">
        <f t="shared" si="12"/>
        <v>2.4</v>
      </c>
      <c r="AB95" s="1">
        <v>4</v>
      </c>
      <c r="AC95" s="71">
        <f>AC94</f>
        <v>2.4</v>
      </c>
      <c r="AD95" s="68"/>
      <c r="AE95" s="75"/>
      <c r="AF95" s="75"/>
      <c r="AG95" s="75"/>
      <c r="AH95" s="68">
        <v>0</v>
      </c>
      <c r="AI95" s="75"/>
      <c r="AJ95" s="75"/>
      <c r="AK95" s="75"/>
      <c r="AL95" s="72"/>
      <c r="AR95" s="71">
        <f>AR94</f>
        <v>2.0073012708696734</v>
      </c>
      <c r="AS95" s="68"/>
      <c r="AT95" s="68"/>
      <c r="AU95" s="68"/>
      <c r="AV95" s="68"/>
      <c r="AW95" s="68">
        <v>0</v>
      </c>
      <c r="AX95" s="68"/>
      <c r="AY95" s="68"/>
      <c r="AZ95" s="68"/>
      <c r="BA95" s="72"/>
    </row>
    <row r="96" spans="1:53" ht="13.5">
      <c r="A96" s="6" t="s">
        <v>135</v>
      </c>
      <c r="B96" s="65">
        <f>B89/B95/L22*10</f>
        <v>8.0336416063659</v>
      </c>
      <c r="C96" s="7" t="s">
        <v>136</v>
      </c>
      <c r="D96" s="58" t="s">
        <v>144</v>
      </c>
      <c r="AC96" s="71"/>
      <c r="AD96" s="68"/>
      <c r="AE96" s="68"/>
      <c r="AF96" s="75"/>
      <c r="AG96" s="75"/>
      <c r="AH96" s="75"/>
      <c r="AI96" s="75"/>
      <c r="AJ96" s="75"/>
      <c r="AK96" s="75"/>
      <c r="AL96" s="72"/>
      <c r="AR96" s="71"/>
      <c r="AS96" s="68"/>
      <c r="AT96" s="68"/>
      <c r="AU96" s="68"/>
      <c r="AV96" s="68"/>
      <c r="AW96" s="68"/>
      <c r="AX96" s="68"/>
      <c r="AY96" s="68"/>
      <c r="AZ96" s="68"/>
      <c r="BA96" s="72"/>
    </row>
    <row r="97" spans="2:53" ht="13.5">
      <c r="B97" s="1"/>
      <c r="C97" s="7"/>
      <c r="W97" s="38" t="s">
        <v>91</v>
      </c>
      <c r="X97" s="38" t="s">
        <v>92</v>
      </c>
      <c r="Y97" s="38" t="s">
        <v>94</v>
      </c>
      <c r="Z97" s="13" t="s">
        <v>93</v>
      </c>
      <c r="AB97" s="1">
        <v>1</v>
      </c>
      <c r="AC97" s="71">
        <f>xy(X93,Y93,Z93,$B$29,AB97)</f>
        <v>0</v>
      </c>
      <c r="AD97" s="68"/>
      <c r="AE97" s="68"/>
      <c r="AF97" s="75"/>
      <c r="AG97" s="75"/>
      <c r="AH97" s="75"/>
      <c r="AI97" s="68">
        <v>0</v>
      </c>
      <c r="AJ97" s="75"/>
      <c r="AK97" s="75"/>
      <c r="AL97" s="72"/>
      <c r="AM97" s="1">
        <f>INDEX(J81:O81,1,1)</f>
        <v>77.65101562499999</v>
      </c>
      <c r="AN97" s="1">
        <f>INDEX(J81:O81,1,2)</f>
        <v>57.787734375000014</v>
      </c>
      <c r="AO97" s="1">
        <f>INDEX(J81:O81,1,5)</f>
        <v>71.20008054626635</v>
      </c>
      <c r="AP97" s="1">
        <f>INDEX(J81:O81,1,6)</f>
        <v>2.282672979483346</v>
      </c>
      <c r="AR97" s="71">
        <f>yx(AM97,AN97,AO97,AP97,$B$29,AB97)</f>
        <v>0</v>
      </c>
      <c r="AS97" s="68"/>
      <c r="AT97" s="68"/>
      <c r="AU97" s="68"/>
      <c r="AV97" s="68"/>
      <c r="AW97" s="68"/>
      <c r="AX97" s="68">
        <v>0</v>
      </c>
      <c r="AY97" s="68"/>
      <c r="AZ97" s="68"/>
      <c r="BA97" s="72"/>
    </row>
    <row r="98" spans="1:53" ht="12">
      <c r="A98" s="54" t="s">
        <v>139</v>
      </c>
      <c r="B98" s="1"/>
      <c r="C98" s="7"/>
      <c r="W98" s="86">
        <f aca="true" t="shared" si="14" ref="W98:X101">J76</f>
        <v>116.85164062500002</v>
      </c>
      <c r="X98" s="77">
        <f t="shared" si="14"/>
        <v>29.837109374999983</v>
      </c>
      <c r="Y98" s="87">
        <f aca="true" t="shared" si="15" ref="Y98:Z101">N76</f>
        <v>91.4211214694554</v>
      </c>
      <c r="Z98" s="90">
        <f t="shared" si="15"/>
        <v>1.9254467367129378</v>
      </c>
      <c r="AB98" s="1">
        <v>2</v>
      </c>
      <c r="AC98" s="71">
        <f>AC97</f>
        <v>0</v>
      </c>
      <c r="AD98" s="68"/>
      <c r="AE98" s="68"/>
      <c r="AF98" s="75"/>
      <c r="AG98" s="75"/>
      <c r="AH98" s="75"/>
      <c r="AI98" s="68">
        <f>xy(X93,Y93,Z93,$B$29,AB98)</f>
        <v>77.65101562499999</v>
      </c>
      <c r="AJ98" s="75"/>
      <c r="AK98" s="75"/>
      <c r="AL98" s="72"/>
      <c r="AR98" s="71">
        <f>AR97</f>
        <v>0</v>
      </c>
      <c r="AS98" s="68"/>
      <c r="AT98" s="68"/>
      <c r="AU98" s="68"/>
      <c r="AV98" s="68"/>
      <c r="AW98" s="68"/>
      <c r="AX98" s="68">
        <f>yx(AM97,AN97,AO97,AP97,$B$29,AB98)</f>
        <v>71.20008054626635</v>
      </c>
      <c r="AY98" s="68"/>
      <c r="AZ98" s="68"/>
      <c r="BA98" s="72"/>
    </row>
    <row r="99" spans="1:53" ht="12">
      <c r="A99" s="108" t="s">
        <v>152</v>
      </c>
      <c r="B99" s="2">
        <f>murarr(I76:I83,O76:O83,N76:N83,B76:B83,D76:D83,B5,B6,B7,F46,F47,B106,L21,B17,B18,1)</f>
        <v>1</v>
      </c>
      <c r="C99" s="7"/>
      <c r="D99" s="7" t="str">
        <f>"N° du cas de charge (poussée "&amp;VLOOKUP(B99,A76:D83,3)&amp;" et poids "&amp;VLOOKUP(B99,A76:D83,4)&amp;")"</f>
        <v>N° du cas de charge (poussée maxi et poids maxi)</v>
      </c>
      <c r="W99" s="88">
        <f t="shared" si="14"/>
        <v>86.60414062500001</v>
      </c>
      <c r="X99" s="79">
        <f t="shared" si="14"/>
        <v>60.08460937499998</v>
      </c>
      <c r="Y99" s="89">
        <f t="shared" si="15"/>
        <v>78.04773342756393</v>
      </c>
      <c r="Z99" s="91">
        <f t="shared" si="15"/>
        <v>2.255369788071682</v>
      </c>
      <c r="AB99" s="1">
        <v>3</v>
      </c>
      <c r="AC99" s="71">
        <f>xy(X93,Y93,Z93,$B$29,AB99)</f>
        <v>2.4</v>
      </c>
      <c r="AD99" s="68"/>
      <c r="AE99" s="68"/>
      <c r="AF99" s="75"/>
      <c r="AG99" s="75"/>
      <c r="AH99" s="75"/>
      <c r="AI99" s="68">
        <f>xy(X93,Y93,Z93,$B$29,AB100)</f>
        <v>57.787734375000014</v>
      </c>
      <c r="AJ99" s="75"/>
      <c r="AK99" s="75"/>
      <c r="AL99" s="72"/>
      <c r="AR99" s="73">
        <f>yx(AM97,AN97,AO97,AP97,$B$29,AB99)</f>
        <v>2.282672979483346</v>
      </c>
      <c r="AS99" s="68"/>
      <c r="AT99" s="68"/>
      <c r="AU99" s="68"/>
      <c r="AV99" s="68"/>
      <c r="AW99" s="68"/>
      <c r="AX99" s="68">
        <f>yx(AM97,AN97,AO97,AP97,$B$29,AB100)</f>
        <v>71.20008054626635</v>
      </c>
      <c r="AY99" s="68"/>
      <c r="AZ99" s="68"/>
      <c r="BA99" s="72"/>
    </row>
    <row r="100" spans="1:53" ht="12">
      <c r="A100" s="55" t="s">
        <v>154</v>
      </c>
      <c r="B100" s="2">
        <f>VLOOKUP(B99,A76:N83,14)</f>
        <v>91.4211214694554</v>
      </c>
      <c r="C100" s="7" t="s">
        <v>107</v>
      </c>
      <c r="D100" s="7" t="s">
        <v>189</v>
      </c>
      <c r="M100" s="1"/>
      <c r="W100" s="88">
        <f t="shared" si="14"/>
        <v>116.23578996041526</v>
      </c>
      <c r="X100" s="79">
        <f t="shared" si="14"/>
        <v>0</v>
      </c>
      <c r="Y100" s="89">
        <f t="shared" si="15"/>
        <v>87.17684247031144</v>
      </c>
      <c r="Z100" s="91">
        <f t="shared" si="15"/>
        <v>1.4842244377463485</v>
      </c>
      <c r="AB100" s="1">
        <v>4</v>
      </c>
      <c r="AC100" s="71">
        <f>AC99</f>
        <v>2.4</v>
      </c>
      <c r="AD100" s="68"/>
      <c r="AE100" s="68"/>
      <c r="AF100" s="75"/>
      <c r="AG100" s="75"/>
      <c r="AH100" s="75"/>
      <c r="AI100" s="68">
        <v>0</v>
      </c>
      <c r="AJ100" s="75"/>
      <c r="AK100" s="75"/>
      <c r="AL100" s="72"/>
      <c r="AR100" s="71">
        <f>AR99</f>
        <v>2.282672979483346</v>
      </c>
      <c r="AS100" s="68"/>
      <c r="AT100" s="68"/>
      <c r="AU100" s="68"/>
      <c r="AV100" s="68"/>
      <c r="AW100" s="68"/>
      <c r="AX100" s="68">
        <v>0</v>
      </c>
      <c r="AY100" s="68"/>
      <c r="AZ100" s="68"/>
      <c r="BA100" s="72"/>
    </row>
    <row r="101" spans="1:53" ht="13.5">
      <c r="A101" s="6" t="s">
        <v>184</v>
      </c>
      <c r="B101" s="104">
        <f>murarr(I76:I83,O76:O83,N76:N83,B76:B83,D76:D83,B5,B6,B7,F46,F47,B106,L21,B17,B18,5)</f>
        <v>0.4254467367129378</v>
      </c>
      <c r="C101" s="7" t="s">
        <v>22</v>
      </c>
      <c r="D101" s="58" t="s">
        <v>183</v>
      </c>
      <c r="O101" s="107"/>
      <c r="W101" s="88">
        <f t="shared" si="14"/>
        <v>85.37968749999996</v>
      </c>
      <c r="X101" s="79">
        <f t="shared" si="14"/>
        <v>22.445312500000032</v>
      </c>
      <c r="Y101" s="89">
        <f t="shared" si="15"/>
        <v>66.93522723183763</v>
      </c>
      <c r="Z101" s="91">
        <f t="shared" si="15"/>
        <v>1.9330628332946909</v>
      </c>
      <c r="AC101" s="71"/>
      <c r="AD101" s="68"/>
      <c r="AE101" s="68"/>
      <c r="AF101" s="75"/>
      <c r="AG101" s="75"/>
      <c r="AH101" s="75"/>
      <c r="AI101" s="75"/>
      <c r="AJ101" s="75"/>
      <c r="AK101" s="75"/>
      <c r="AL101" s="72"/>
      <c r="AR101" s="71"/>
      <c r="AS101" s="68"/>
      <c r="AT101" s="68"/>
      <c r="AU101" s="68"/>
      <c r="AV101" s="68"/>
      <c r="AW101" s="68"/>
      <c r="AX101" s="68"/>
      <c r="AY101" s="68"/>
      <c r="AZ101" s="68"/>
      <c r="BA101" s="72"/>
    </row>
    <row r="102" spans="1:53" ht="13.5">
      <c r="A102" s="6" t="s">
        <v>185</v>
      </c>
      <c r="B102" s="104">
        <f>murarr(I76:I83,O76:O83,N76:N83,B76:B83,D76:D83,B5,B6,B7,F46,F47,B106,L21,B17,B18,6)</f>
        <v>0.2127233683564689</v>
      </c>
      <c r="C102" s="7" t="s">
        <v>22</v>
      </c>
      <c r="D102" s="7" t="s">
        <v>186</v>
      </c>
      <c r="O102" s="107"/>
      <c r="W102" s="78">
        <f aca="true" t="shared" si="16" ref="W102:X105">J80</f>
        <v>100.96101562500002</v>
      </c>
      <c r="X102" s="79">
        <f t="shared" si="16"/>
        <v>34.47773437499999</v>
      </c>
      <c r="Y102" s="79">
        <f aca="true" t="shared" si="17" ref="Y102:Z105">N80</f>
        <v>80.96766656735318</v>
      </c>
      <c r="Z102" s="91">
        <f t="shared" si="17"/>
        <v>2.0073012708696734</v>
      </c>
      <c r="AB102" s="1">
        <v>1</v>
      </c>
      <c r="AC102" s="71">
        <f>xy(X94,Y94,Z94,$B$29,AB102)</f>
        <v>0</v>
      </c>
      <c r="AD102" s="68"/>
      <c r="AE102" s="68"/>
      <c r="AF102" s="75"/>
      <c r="AG102" s="75"/>
      <c r="AH102" s="75"/>
      <c r="AI102" s="75"/>
      <c r="AJ102" s="68">
        <v>0</v>
      </c>
      <c r="AK102" s="75"/>
      <c r="AL102" s="72"/>
      <c r="AM102" s="1">
        <f>INDEX(J82:O82,1,1)</f>
        <v>98.0959375</v>
      </c>
      <c r="AN102" s="1">
        <f>INDEX(J82:O82,1,2)</f>
        <v>2.229062500000009</v>
      </c>
      <c r="AO102" s="1">
        <f>INDEX(J82:O82,1,5)</f>
        <v>73.60829044436927</v>
      </c>
      <c r="AP102" s="1">
        <f>INDEX(J82:O82,1,6)</f>
        <v>1.635549464241216</v>
      </c>
      <c r="AR102" s="71">
        <f>yx(AM102,AN102,AO102,AP102,$B$29,AB102)</f>
        <v>0</v>
      </c>
      <c r="AS102" s="68"/>
      <c r="AT102" s="68"/>
      <c r="AU102" s="68"/>
      <c r="AV102" s="68"/>
      <c r="AW102" s="68"/>
      <c r="AX102" s="68"/>
      <c r="AY102" s="68">
        <v>0</v>
      </c>
      <c r="AZ102" s="68"/>
      <c r="BA102" s="72"/>
    </row>
    <row r="103" spans="1:53" ht="13.5">
      <c r="A103" s="6" t="s">
        <v>172</v>
      </c>
      <c r="B103" s="45">
        <f>murarr(I76:I83,O76:O83,N76:N83,B76:B83,D76:D83,B5,B6,B7,F46,F47,B106,L21,B17,B18,2)</f>
        <v>43.551674999999996</v>
      </c>
      <c r="C103" s="7" t="s">
        <v>23</v>
      </c>
      <c r="D103" s="58" t="s">
        <v>173</v>
      </c>
      <c r="J103" s="60"/>
      <c r="O103" s="107"/>
      <c r="W103" s="78">
        <f t="shared" si="16"/>
        <v>77.65101562499999</v>
      </c>
      <c r="X103" s="79">
        <f t="shared" si="16"/>
        <v>57.787734375000014</v>
      </c>
      <c r="Y103" s="79">
        <f t="shared" si="17"/>
        <v>71.20008054626635</v>
      </c>
      <c r="Z103" s="91">
        <f t="shared" si="17"/>
        <v>2.282672979483346</v>
      </c>
      <c r="AB103" s="1">
        <v>2</v>
      </c>
      <c r="AC103" s="71">
        <f>AC102</f>
        <v>0</v>
      </c>
      <c r="AD103" s="68"/>
      <c r="AE103" s="68"/>
      <c r="AF103" s="75"/>
      <c r="AG103" s="75"/>
      <c r="AH103" s="75"/>
      <c r="AI103" s="75"/>
      <c r="AJ103" s="68">
        <f>xy(X94,Y94,Z94,$B$29,AB103)</f>
        <v>98.0959375</v>
      </c>
      <c r="AK103" s="75"/>
      <c r="AL103" s="72"/>
      <c r="AR103" s="71">
        <f>AR102</f>
        <v>0</v>
      </c>
      <c r="AS103" s="68"/>
      <c r="AT103" s="68"/>
      <c r="AU103" s="68"/>
      <c r="AV103" s="68"/>
      <c r="AW103" s="68"/>
      <c r="AX103" s="68"/>
      <c r="AY103" s="68">
        <f>yx(AM102,AN102,AO102,AP102,$B$29,AB103)</f>
        <v>73.60829044436927</v>
      </c>
      <c r="AZ103" s="68"/>
      <c r="BA103" s="72"/>
    </row>
    <row r="104" spans="1:53" ht="13.5">
      <c r="A104" s="6" t="s">
        <v>153</v>
      </c>
      <c r="B104" s="45">
        <f>murarr(I76:I83,O76:O83,N76:N83,B76:B83,D76:D83,B5,B6,B7,F46,F47,B106,L21,B17,B18,3)</f>
        <v>8.2738366531373</v>
      </c>
      <c r="C104" s="7" t="s">
        <v>23</v>
      </c>
      <c r="D104" s="58" t="s">
        <v>187</v>
      </c>
      <c r="K104" s="7"/>
      <c r="W104" s="78">
        <f t="shared" si="16"/>
        <v>98.0959375</v>
      </c>
      <c r="X104" s="79">
        <f t="shared" si="16"/>
        <v>2.229062500000009</v>
      </c>
      <c r="Y104" s="79">
        <f t="shared" si="17"/>
        <v>73.60829044436927</v>
      </c>
      <c r="Z104" s="91">
        <f t="shared" si="17"/>
        <v>1.635549464241216</v>
      </c>
      <c r="AB104" s="1">
        <v>3</v>
      </c>
      <c r="AC104" s="71">
        <f>xy(X94,Y94,Z94,$B$29,AB104)</f>
        <v>2.4</v>
      </c>
      <c r="AD104" s="68"/>
      <c r="AE104" s="68"/>
      <c r="AF104" s="75"/>
      <c r="AG104" s="75"/>
      <c r="AH104" s="75"/>
      <c r="AI104" s="75"/>
      <c r="AJ104" s="68">
        <f>xy(X94,Y94,Z94,$B$29,AB105)</f>
        <v>2.229062500000009</v>
      </c>
      <c r="AK104" s="75"/>
      <c r="AL104" s="72"/>
      <c r="AR104" s="73">
        <f>yx(AM102,AN102,AO102,AP102,$B$29,AB104)</f>
        <v>1.635549464241216</v>
      </c>
      <c r="AS104" s="68"/>
      <c r="AT104" s="68"/>
      <c r="AU104" s="68"/>
      <c r="AV104" s="68"/>
      <c r="AW104" s="68"/>
      <c r="AX104" s="68"/>
      <c r="AY104" s="68">
        <f>yx(AM102,AN102,AO102,AP102,$B$29,AB105)</f>
        <v>73.60829044436927</v>
      </c>
      <c r="AZ104" s="68"/>
      <c r="BA104" s="72"/>
    </row>
    <row r="105" spans="1:53" ht="13.5">
      <c r="A105" s="98" t="s">
        <v>18</v>
      </c>
      <c r="B105" s="45">
        <f>B103-B104</f>
        <v>35.277838346862694</v>
      </c>
      <c r="C105" s="7" t="s">
        <v>23</v>
      </c>
      <c r="D105" s="58" t="s">
        <v>174</v>
      </c>
      <c r="I105" s="6"/>
      <c r="W105" s="83">
        <f t="shared" si="16"/>
        <v>74.78593750000002</v>
      </c>
      <c r="X105" s="84">
        <f t="shared" si="16"/>
        <v>25.539062499999993</v>
      </c>
      <c r="Y105" s="84">
        <f t="shared" si="17"/>
        <v>59.976049309150504</v>
      </c>
      <c r="Z105" s="92">
        <f t="shared" si="17"/>
        <v>2.0073012708696734</v>
      </c>
      <c r="AB105" s="1">
        <v>4</v>
      </c>
      <c r="AC105" s="71">
        <f>AC104</f>
        <v>2.4</v>
      </c>
      <c r="AD105" s="68"/>
      <c r="AE105" s="68"/>
      <c r="AF105" s="75"/>
      <c r="AG105" s="75"/>
      <c r="AH105" s="75"/>
      <c r="AI105" s="75"/>
      <c r="AJ105" s="68">
        <v>0</v>
      </c>
      <c r="AK105" s="75"/>
      <c r="AL105" s="72"/>
      <c r="AR105" s="71">
        <f>AR104</f>
        <v>1.635549464241216</v>
      </c>
      <c r="AS105" s="68"/>
      <c r="AT105" s="68"/>
      <c r="AU105" s="68"/>
      <c r="AV105" s="68"/>
      <c r="AW105" s="68"/>
      <c r="AX105" s="68"/>
      <c r="AY105" s="68">
        <v>0</v>
      </c>
      <c r="AZ105" s="68"/>
      <c r="BA105" s="72"/>
    </row>
    <row r="106" spans="1:53" ht="13.5">
      <c r="A106" s="6" t="s">
        <v>128</v>
      </c>
      <c r="B106" s="43">
        <f>B10-B22/1000</f>
        <v>0.255</v>
      </c>
      <c r="C106" s="7" t="s">
        <v>22</v>
      </c>
      <c r="D106" s="58" t="s">
        <v>141</v>
      </c>
      <c r="AC106" s="71"/>
      <c r="AD106" s="68"/>
      <c r="AE106" s="68"/>
      <c r="AF106" s="75"/>
      <c r="AG106" s="75"/>
      <c r="AH106" s="75"/>
      <c r="AI106" s="75"/>
      <c r="AJ106" s="75"/>
      <c r="AK106" s="68"/>
      <c r="AL106" s="72"/>
      <c r="AR106" s="71"/>
      <c r="AS106" s="68"/>
      <c r="AT106" s="68"/>
      <c r="AU106" s="68"/>
      <c r="AV106" s="68"/>
      <c r="AW106" s="68"/>
      <c r="AX106" s="68"/>
      <c r="AY106" s="68"/>
      <c r="AZ106" s="68"/>
      <c r="BA106" s="72"/>
    </row>
    <row r="107" spans="1:53" ht="12">
      <c r="A107" s="55" t="s">
        <v>22</v>
      </c>
      <c r="B107" s="43">
        <f>B105/1000/B106^2/L$21</f>
        <v>0.03255163861302209</v>
      </c>
      <c r="C107" s="7" t="s">
        <v>129</v>
      </c>
      <c r="D107" s="7" t="str">
        <f>IF(B107&lt;0.37,"OK","KO")</f>
        <v>OK</v>
      </c>
      <c r="AB107" s="1">
        <v>1</v>
      </c>
      <c r="AC107" s="71">
        <f>xy(X95,Y95,Z95,$B$29,AB107)</f>
        <v>0</v>
      </c>
      <c r="AD107" s="68"/>
      <c r="AE107" s="68"/>
      <c r="AF107" s="75"/>
      <c r="AG107" s="75"/>
      <c r="AH107" s="75"/>
      <c r="AI107" s="75"/>
      <c r="AJ107" s="75"/>
      <c r="AK107" s="68">
        <v>0</v>
      </c>
      <c r="AL107" s="72"/>
      <c r="AM107" s="1">
        <f>INDEX(J83:O83,1,1)</f>
        <v>74.78593750000002</v>
      </c>
      <c r="AN107" s="1">
        <f>INDEX(J83:O83,1,2)</f>
        <v>25.539062499999993</v>
      </c>
      <c r="AO107" s="1">
        <f>INDEX(J83:O83,1,5)</f>
        <v>59.976049309150504</v>
      </c>
      <c r="AP107" s="1">
        <f>INDEX(J83:O83,1,6)</f>
        <v>2.0073012708696734</v>
      </c>
      <c r="AR107" s="71">
        <f>yx(AM107,AN107,AO107,AP107,$B$29,AB107)</f>
        <v>0</v>
      </c>
      <c r="AS107" s="68"/>
      <c r="AT107" s="68"/>
      <c r="AU107" s="68"/>
      <c r="AV107" s="68"/>
      <c r="AW107" s="68"/>
      <c r="AX107" s="68"/>
      <c r="AY107" s="68"/>
      <c r="AZ107" s="68">
        <v>0</v>
      </c>
      <c r="BA107" s="72"/>
    </row>
    <row r="108" spans="1:53" ht="14.25">
      <c r="A108" s="55" t="s">
        <v>130</v>
      </c>
      <c r="B108" s="43">
        <f>1.25*(1-SQRT(1-2*B107))</f>
        <v>0.04137428070791663</v>
      </c>
      <c r="D108" s="59" t="s">
        <v>138</v>
      </c>
      <c r="X108" s="26" t="s">
        <v>154</v>
      </c>
      <c r="AB108" s="1">
        <v>2</v>
      </c>
      <c r="AC108" s="71">
        <f>AC107</f>
        <v>0</v>
      </c>
      <c r="AD108" s="68"/>
      <c r="AE108" s="68"/>
      <c r="AF108" s="75"/>
      <c r="AG108" s="75"/>
      <c r="AH108" s="75"/>
      <c r="AI108" s="75"/>
      <c r="AJ108" s="75"/>
      <c r="AK108" s="68">
        <f>xy(X95,Y95,Z95,$B$29,AB108)</f>
        <v>74.78593750000002</v>
      </c>
      <c r="AL108" s="72"/>
      <c r="AR108" s="71">
        <f>AR107</f>
        <v>0</v>
      </c>
      <c r="AS108" s="68"/>
      <c r="AT108" s="68"/>
      <c r="AU108" s="68"/>
      <c r="AV108" s="68"/>
      <c r="AW108" s="68"/>
      <c r="AX108" s="68"/>
      <c r="AY108" s="68"/>
      <c r="AZ108" s="68">
        <f>yx(AM107,AN107,AO107,AP107,$B$29,AB108)</f>
        <v>59.976049309150504</v>
      </c>
      <c r="BA108" s="72"/>
    </row>
    <row r="109" spans="1:53" ht="13.5">
      <c r="A109" s="55" t="s">
        <v>132</v>
      </c>
      <c r="B109" s="43">
        <f>3.5*(1-B108)/B108</f>
        <v>81.09361564998287</v>
      </c>
      <c r="C109" s="1" t="str">
        <f>"≤ "&amp;0.9*T$21&amp;" ?"</f>
        <v>≤ 22,5 ?</v>
      </c>
      <c r="D109" s="58" t="s">
        <v>188</v>
      </c>
      <c r="W109" s="1">
        <v>1</v>
      </c>
      <c r="X109" s="1">
        <v>2</v>
      </c>
      <c r="Y109" s="1">
        <v>3</v>
      </c>
      <c r="Z109" s="1" t="s">
        <v>93</v>
      </c>
      <c r="AB109" s="1">
        <v>3</v>
      </c>
      <c r="AC109" s="71">
        <f>xy(X95,Y95,Z95,$B$29,AB109)</f>
        <v>2.4</v>
      </c>
      <c r="AD109" s="68"/>
      <c r="AE109" s="68"/>
      <c r="AF109" s="75"/>
      <c r="AG109" s="75"/>
      <c r="AH109" s="75"/>
      <c r="AI109" s="75"/>
      <c r="AJ109" s="75"/>
      <c r="AK109" s="68">
        <f>xy(X95,Y95,Z95,$B$29,AB110)</f>
        <v>25.539062499999993</v>
      </c>
      <c r="AL109" s="72"/>
      <c r="AR109" s="73">
        <f>yx(AM107,AN107,AO107,AP107,$B$29,AB109)</f>
        <v>2.0073012708696734</v>
      </c>
      <c r="AS109" s="68"/>
      <c r="AT109" s="68"/>
      <c r="AU109" s="68"/>
      <c r="AV109" s="68"/>
      <c r="AW109" s="68"/>
      <c r="AX109" s="68"/>
      <c r="AY109" s="68"/>
      <c r="AZ109" s="68">
        <f>yx(AM107,AN107,AO107,AP107,$B$29,AB110)</f>
        <v>59.976049309150504</v>
      </c>
      <c r="BA109" s="72"/>
    </row>
    <row r="110" spans="1:53" ht="13.5">
      <c r="A110" s="55" t="s">
        <v>133</v>
      </c>
      <c r="B110" s="45">
        <f>L22*(1+(T22-1)*(MIN(B109,0.9*T21)-eso)/(T21-eso))</f>
        <v>454.14078674948246</v>
      </c>
      <c r="C110" s="7" t="s">
        <v>97</v>
      </c>
      <c r="D110" s="7" t="s">
        <v>143</v>
      </c>
      <c r="W110" s="61">
        <f aca="true" t="shared" si="18" ref="W110:Y117">yx($W98,$X98,$Y98,$Z98,$B$29,W$109)</f>
        <v>0</v>
      </c>
      <c r="X110" s="70">
        <f t="shared" si="18"/>
        <v>91.4211214694554</v>
      </c>
      <c r="Y110" s="62">
        <f t="shared" si="18"/>
        <v>1.9254467367129378</v>
      </c>
      <c r="Z110" s="67">
        <f>Y110-W110</f>
        <v>1.9254467367129378</v>
      </c>
      <c r="AB110" s="1">
        <v>4</v>
      </c>
      <c r="AC110" s="71">
        <f>AC109</f>
        <v>2.4</v>
      </c>
      <c r="AD110" s="68"/>
      <c r="AE110" s="68"/>
      <c r="AF110" s="75"/>
      <c r="AG110" s="75"/>
      <c r="AH110" s="75"/>
      <c r="AI110" s="75"/>
      <c r="AJ110" s="75"/>
      <c r="AK110" s="68">
        <v>0</v>
      </c>
      <c r="AL110" s="72"/>
      <c r="AR110" s="71">
        <f>AR109</f>
        <v>2.0073012708696734</v>
      </c>
      <c r="AS110" s="68"/>
      <c r="AT110" s="68"/>
      <c r="AU110" s="68"/>
      <c r="AV110" s="68"/>
      <c r="AW110" s="68"/>
      <c r="AX110" s="68"/>
      <c r="AY110" s="68"/>
      <c r="AZ110" s="68">
        <v>0</v>
      </c>
      <c r="BA110" s="72"/>
    </row>
    <row r="111" spans="1:53" ht="12">
      <c r="A111" s="6" t="s">
        <v>134</v>
      </c>
      <c r="B111" s="43">
        <f>B106*(1-0.4*B108)</f>
        <v>0.25077982336779253</v>
      </c>
      <c r="C111" s="7" t="s">
        <v>22</v>
      </c>
      <c r="D111" s="58" t="s">
        <v>142</v>
      </c>
      <c r="W111" s="71">
        <f t="shared" si="18"/>
        <v>0</v>
      </c>
      <c r="X111" s="68">
        <f t="shared" si="18"/>
        <v>78.04773342756393</v>
      </c>
      <c r="Y111" s="72">
        <f t="shared" si="18"/>
        <v>2.255369788071682</v>
      </c>
      <c r="Z111" s="67">
        <f aca="true" t="shared" si="19" ref="Z111:Z117">Y111-W111</f>
        <v>2.255369788071682</v>
      </c>
      <c r="AC111" s="71"/>
      <c r="AD111" s="68"/>
      <c r="AE111" s="68"/>
      <c r="AF111" s="75"/>
      <c r="AG111" s="75"/>
      <c r="AH111" s="75"/>
      <c r="AI111" s="75"/>
      <c r="AJ111" s="75"/>
      <c r="AK111" s="75"/>
      <c r="AL111" s="72"/>
      <c r="AR111" s="71"/>
      <c r="AS111" s="68"/>
      <c r="AT111" s="68"/>
      <c r="AU111" s="68"/>
      <c r="AV111" s="68"/>
      <c r="AW111" s="68"/>
      <c r="AX111" s="68"/>
      <c r="AY111" s="68"/>
      <c r="AZ111" s="68"/>
      <c r="BA111" s="72"/>
    </row>
    <row r="112" spans="1:53" ht="14.25">
      <c r="A112" s="6" t="s">
        <v>135</v>
      </c>
      <c r="B112" s="126">
        <f>-B105/B111/B110*10*SIGN(B105)</f>
        <v>-3.0975538535920055</v>
      </c>
      <c r="C112" s="7" t="s">
        <v>136</v>
      </c>
      <c r="D112" s="58" t="s">
        <v>144</v>
      </c>
      <c r="F112" s="7" t="s">
        <v>168</v>
      </c>
      <c r="W112" s="71">
        <f t="shared" si="18"/>
        <v>0</v>
      </c>
      <c r="X112" s="68">
        <f t="shared" si="18"/>
        <v>87.17684247031144</v>
      </c>
      <c r="Y112" s="72">
        <f t="shared" si="18"/>
        <v>1.4842244377463485</v>
      </c>
      <c r="Z112" s="67">
        <f t="shared" si="19"/>
        <v>1.4842244377463485</v>
      </c>
      <c r="AC112" s="71">
        <f>AR112</f>
        <v>0</v>
      </c>
      <c r="AD112" s="68"/>
      <c r="AE112" s="68"/>
      <c r="AF112" s="75"/>
      <c r="AG112" s="75"/>
      <c r="AH112" s="75"/>
      <c r="AI112" s="75"/>
      <c r="AJ112" s="75"/>
      <c r="AK112" s="75"/>
      <c r="AL112" s="72">
        <f>BA112</f>
        <v>0</v>
      </c>
      <c r="AR112" s="71">
        <v>0</v>
      </c>
      <c r="AS112" s="68"/>
      <c r="AT112" s="68"/>
      <c r="AU112" s="68"/>
      <c r="AV112" s="68"/>
      <c r="AW112" s="68"/>
      <c r="AX112" s="68"/>
      <c r="AY112" s="68"/>
      <c r="AZ112" s="68"/>
      <c r="BA112" s="72">
        <v>0</v>
      </c>
    </row>
    <row r="113" spans="1:53" ht="12">
      <c r="A113" s="6"/>
      <c r="B113" s="97"/>
      <c r="C113" s="7"/>
      <c r="D113" s="58"/>
      <c r="W113" s="71">
        <f t="shared" si="18"/>
        <v>0</v>
      </c>
      <c r="X113" s="68">
        <f t="shared" si="18"/>
        <v>66.93522723183763</v>
      </c>
      <c r="Y113" s="72">
        <f t="shared" si="18"/>
        <v>1.9330628332946909</v>
      </c>
      <c r="Z113" s="67">
        <f t="shared" si="19"/>
        <v>1.9330628332946909</v>
      </c>
      <c r="AC113" s="71">
        <f aca="true" t="shared" si="20" ref="AC113:AC120">AR113</f>
        <v>0</v>
      </c>
      <c r="AD113" s="68"/>
      <c r="AE113" s="68"/>
      <c r="AF113" s="75"/>
      <c r="AG113" s="75"/>
      <c r="AH113" s="75"/>
      <c r="AI113" s="75"/>
      <c r="AJ113" s="75"/>
      <c r="AK113" s="75"/>
      <c r="AL113" s="72">
        <f aca="true" t="shared" si="21" ref="AL113:AL120">BA113</f>
        <v>25</v>
      </c>
      <c r="AR113" s="71">
        <v>0</v>
      </c>
      <c r="AS113" s="68"/>
      <c r="AT113" s="68"/>
      <c r="AU113" s="68"/>
      <c r="AV113" s="68"/>
      <c r="AW113" s="68"/>
      <c r="AX113" s="68"/>
      <c r="AY113" s="68"/>
      <c r="AZ113" s="68"/>
      <c r="BA113" s="72">
        <f>B8*100</f>
        <v>25</v>
      </c>
    </row>
    <row r="114" spans="1:53" ht="12">
      <c r="A114" s="54" t="s">
        <v>157</v>
      </c>
      <c r="B114" s="1"/>
      <c r="C114" s="7"/>
      <c r="W114" s="71">
        <f t="shared" si="18"/>
        <v>0</v>
      </c>
      <c r="X114" s="68">
        <f t="shared" si="18"/>
        <v>80.96766656735318</v>
      </c>
      <c r="Y114" s="72">
        <f t="shared" si="18"/>
        <v>2.0073012708696734</v>
      </c>
      <c r="Z114" s="67">
        <f t="shared" si="19"/>
        <v>2.0073012708696734</v>
      </c>
      <c r="AC114" s="71">
        <f t="shared" si="20"/>
        <v>1.2</v>
      </c>
      <c r="AD114" s="68"/>
      <c r="AE114" s="68"/>
      <c r="AF114" s="75"/>
      <c r="AG114" s="75"/>
      <c r="AH114" s="75"/>
      <c r="AI114" s="75"/>
      <c r="AJ114" s="75"/>
      <c r="AK114" s="75"/>
      <c r="AL114" s="72">
        <f t="shared" si="21"/>
        <v>25</v>
      </c>
      <c r="AR114" s="71">
        <f>B5</f>
        <v>1.2</v>
      </c>
      <c r="AS114" s="68"/>
      <c r="AT114" s="68"/>
      <c r="AU114" s="68"/>
      <c r="AV114" s="68"/>
      <c r="AW114" s="68"/>
      <c r="AX114" s="68"/>
      <c r="AY114" s="68"/>
      <c r="AZ114" s="68"/>
      <c r="BA114" s="72">
        <f>BA113</f>
        <v>25</v>
      </c>
    </row>
    <row r="115" spans="1:53" ht="12">
      <c r="A115" s="108" t="s">
        <v>152</v>
      </c>
      <c r="B115" s="2">
        <f>murav(I76:I83,O76:O83,N76:N83,B76:B83,D76:D83,B5,B6,B7,F49,F50,B122,L21,B17,B18,1)</f>
        <v>3</v>
      </c>
      <c r="C115" s="7"/>
      <c r="D115" s="7" t="str">
        <f>"N° du cas de charge (poussée "&amp;VLOOKUP(B99,A76:D83,3)&amp;" et poids "&amp;VLOOKUP(B99,A76:D83,4)&amp;")"</f>
        <v>N° du cas de charge (poussée maxi et poids maxi)</v>
      </c>
      <c r="W115" s="71">
        <f t="shared" si="18"/>
        <v>0</v>
      </c>
      <c r="X115" s="68">
        <f t="shared" si="18"/>
        <v>71.20008054626635</v>
      </c>
      <c r="Y115" s="72">
        <f t="shared" si="18"/>
        <v>2.282672979483346</v>
      </c>
      <c r="Z115" s="67">
        <f t="shared" si="19"/>
        <v>2.282672979483346</v>
      </c>
      <c r="AC115" s="71">
        <f t="shared" si="20"/>
        <v>1.2</v>
      </c>
      <c r="AD115" s="68"/>
      <c r="AE115" s="68"/>
      <c r="AF115" s="75"/>
      <c r="AG115" s="75"/>
      <c r="AH115" s="75"/>
      <c r="AI115" s="75"/>
      <c r="AJ115" s="75"/>
      <c r="AK115" s="75"/>
      <c r="AL115" s="72">
        <f t="shared" si="21"/>
        <v>0</v>
      </c>
      <c r="AR115" s="71">
        <f>AR114</f>
        <v>1.2</v>
      </c>
      <c r="AS115" s="68"/>
      <c r="AT115" s="68"/>
      <c r="AU115" s="68"/>
      <c r="AV115" s="68"/>
      <c r="AW115" s="68"/>
      <c r="AX115" s="68"/>
      <c r="AY115" s="68"/>
      <c r="AZ115" s="68"/>
      <c r="BA115" s="72">
        <v>0</v>
      </c>
    </row>
    <row r="116" spans="1:53" ht="12">
      <c r="A116" s="55" t="s">
        <v>154</v>
      </c>
      <c r="B116" s="5">
        <f>VLOOKUP(B115,A76:N83,14)</f>
        <v>87.17684247031144</v>
      </c>
      <c r="C116" s="7" t="s">
        <v>107</v>
      </c>
      <c r="D116" s="7" t="s">
        <v>189</v>
      </c>
      <c r="W116" s="71">
        <f t="shared" si="18"/>
        <v>0</v>
      </c>
      <c r="X116" s="68">
        <f t="shared" si="18"/>
        <v>73.60829044436927</v>
      </c>
      <c r="Y116" s="72">
        <f t="shared" si="18"/>
        <v>1.635549464241216</v>
      </c>
      <c r="Z116" s="67">
        <f t="shared" si="19"/>
        <v>1.635549464241216</v>
      </c>
      <c r="AC116" s="71"/>
      <c r="AD116" s="68"/>
      <c r="AE116" s="68"/>
      <c r="AF116" s="75"/>
      <c r="AG116" s="75"/>
      <c r="AH116" s="75"/>
      <c r="AI116" s="75"/>
      <c r="AJ116" s="75"/>
      <c r="AK116" s="75"/>
      <c r="AL116" s="72"/>
      <c r="AR116" s="71"/>
      <c r="AS116" s="68"/>
      <c r="AT116" s="68"/>
      <c r="AU116" s="68"/>
      <c r="AV116" s="68"/>
      <c r="AW116" s="68"/>
      <c r="AX116" s="68"/>
      <c r="AY116" s="68"/>
      <c r="AZ116" s="68"/>
      <c r="BA116" s="72"/>
    </row>
    <row r="117" spans="1:53" ht="13.5">
      <c r="A117" s="6" t="s">
        <v>184</v>
      </c>
      <c r="B117" s="104">
        <f>murav(I76:I83,O76:O83,N76:N83,B76:B83,D76:D83,B5,B6,B7,F49,F50,B122,L21,B17,B18,5)</f>
        <v>1.2</v>
      </c>
      <c r="C117" s="7" t="s">
        <v>22</v>
      </c>
      <c r="D117" s="58" t="s">
        <v>183</v>
      </c>
      <c r="W117" s="63">
        <f t="shared" si="18"/>
        <v>0</v>
      </c>
      <c r="X117" s="69">
        <f t="shared" si="18"/>
        <v>59.976049309150504</v>
      </c>
      <c r="Y117" s="14">
        <f t="shared" si="18"/>
        <v>2.0073012708696734</v>
      </c>
      <c r="Z117" s="67">
        <f t="shared" si="19"/>
        <v>2.0073012708696734</v>
      </c>
      <c r="AC117" s="71">
        <f t="shared" si="20"/>
        <v>1.5</v>
      </c>
      <c r="AD117" s="68"/>
      <c r="AE117" s="68"/>
      <c r="AF117" s="75"/>
      <c r="AG117" s="75"/>
      <c r="AH117" s="75"/>
      <c r="AI117" s="75"/>
      <c r="AJ117" s="75"/>
      <c r="AK117" s="75"/>
      <c r="AL117" s="72">
        <f t="shared" si="21"/>
        <v>0</v>
      </c>
      <c r="AR117" s="71">
        <f>B5+B6</f>
        <v>1.5</v>
      </c>
      <c r="AS117" s="68"/>
      <c r="AT117" s="68"/>
      <c r="AU117" s="68"/>
      <c r="AV117" s="68"/>
      <c r="AW117" s="68"/>
      <c r="AX117" s="68"/>
      <c r="AY117" s="68"/>
      <c r="AZ117" s="68"/>
      <c r="BA117" s="72">
        <v>0</v>
      </c>
    </row>
    <row r="118" spans="1:53" ht="13.5">
      <c r="A118" s="6" t="s">
        <v>185</v>
      </c>
      <c r="B118" s="104">
        <f>murav(I76:I83,O76:O83,N76:N83,B76:B83,D76:D83,B5,B6,B7,F49,F50,B122,L21,B17,B18,6)</f>
        <v>0.6</v>
      </c>
      <c r="C118" s="7" t="s">
        <v>22</v>
      </c>
      <c r="D118" s="7" t="s">
        <v>186</v>
      </c>
      <c r="AC118" s="71">
        <f t="shared" si="20"/>
        <v>1.5</v>
      </c>
      <c r="AD118" s="68"/>
      <c r="AE118" s="68"/>
      <c r="AF118" s="75"/>
      <c r="AG118" s="75"/>
      <c r="AH118" s="75"/>
      <c r="AI118" s="75"/>
      <c r="AJ118" s="75"/>
      <c r="AK118" s="75"/>
      <c r="AL118" s="72">
        <f t="shared" si="21"/>
        <v>30</v>
      </c>
      <c r="AR118" s="71">
        <f>AR117</f>
        <v>1.5</v>
      </c>
      <c r="AS118" s="68"/>
      <c r="AT118" s="68"/>
      <c r="AU118" s="68"/>
      <c r="AV118" s="68"/>
      <c r="AW118" s="68"/>
      <c r="AX118" s="68"/>
      <c r="AY118" s="68"/>
      <c r="AZ118" s="68"/>
      <c r="BA118" s="72">
        <f>B10*100</f>
        <v>30</v>
      </c>
    </row>
    <row r="119" spans="1:53" ht="13.5">
      <c r="A119" s="6" t="s">
        <v>161</v>
      </c>
      <c r="B119" s="5">
        <f>murav(I76:I83,O76:O83,N76:N83,B76:B83,D76:D83,B5,B6,B7,F49,F50,B122,L21,B17,B18,2)</f>
        <v>14.219999999999999</v>
      </c>
      <c r="C119" s="7" t="s">
        <v>23</v>
      </c>
      <c r="D119" s="58" t="s">
        <v>158</v>
      </c>
      <c r="AC119" s="71">
        <f t="shared" si="20"/>
        <v>2.4</v>
      </c>
      <c r="AD119" s="68"/>
      <c r="AE119" s="68"/>
      <c r="AF119" s="75"/>
      <c r="AG119" s="75"/>
      <c r="AH119" s="75"/>
      <c r="AI119" s="75"/>
      <c r="AJ119" s="75"/>
      <c r="AK119" s="75"/>
      <c r="AL119" s="72">
        <f t="shared" si="21"/>
        <v>30</v>
      </c>
      <c r="AR119" s="71">
        <f>B29</f>
        <v>2.4</v>
      </c>
      <c r="AS119" s="68"/>
      <c r="AT119" s="68"/>
      <c r="AU119" s="68"/>
      <c r="AV119" s="68"/>
      <c r="AW119" s="68"/>
      <c r="AX119" s="68"/>
      <c r="AY119" s="68"/>
      <c r="AZ119" s="68"/>
      <c r="BA119" s="72">
        <f>BA118</f>
        <v>30</v>
      </c>
    </row>
    <row r="120" spans="1:53" ht="13.5">
      <c r="A120" s="6" t="s">
        <v>153</v>
      </c>
      <c r="B120" s="5">
        <f>murav(I76:I83,O76:O83,N76:N83,B76:B83,D76:D83,B5,B6,B7,F49,F50,B122,L21,B17,B18,3)</f>
        <v>62.767326578624235</v>
      </c>
      <c r="C120" s="7" t="s">
        <v>23</v>
      </c>
      <c r="D120" s="58" t="s">
        <v>187</v>
      </c>
      <c r="I120" s="7"/>
      <c r="W120" s="6" t="s">
        <v>155</v>
      </c>
      <c r="AC120" s="63">
        <f t="shared" si="20"/>
        <v>2.4</v>
      </c>
      <c r="AD120" s="69"/>
      <c r="AE120" s="69"/>
      <c r="AF120" s="76"/>
      <c r="AG120" s="76"/>
      <c r="AH120" s="76"/>
      <c r="AI120" s="76"/>
      <c r="AJ120" s="76"/>
      <c r="AK120" s="76"/>
      <c r="AL120" s="14">
        <f t="shared" si="21"/>
        <v>0</v>
      </c>
      <c r="AR120" s="63">
        <f>AR119</f>
        <v>2.4</v>
      </c>
      <c r="AS120" s="69"/>
      <c r="AT120" s="69"/>
      <c r="AU120" s="69"/>
      <c r="AV120" s="69"/>
      <c r="AW120" s="69"/>
      <c r="AX120" s="69"/>
      <c r="AY120" s="69"/>
      <c r="AZ120" s="69"/>
      <c r="BA120" s="14">
        <v>0</v>
      </c>
    </row>
    <row r="121" spans="1:24" ht="13.5">
      <c r="A121" s="98" t="s">
        <v>18</v>
      </c>
      <c r="B121" s="5">
        <f>(B119-B120)</f>
        <v>-48.54732657862424</v>
      </c>
      <c r="D121" s="58" t="s">
        <v>169</v>
      </c>
      <c r="V121" s="6" t="s">
        <v>151</v>
      </c>
      <c r="W121" s="94">
        <f aca="true" t="shared" si="22" ref="W121:W128">IF(W110=0,IF((Y110-B$5-B$6)&gt;0,X110*(Y110-B$5-B$6)^2/2),0)</f>
        <v>8.2738366531373</v>
      </c>
      <c r="X121" s="1">
        <v>1</v>
      </c>
    </row>
    <row r="122" spans="1:24" ht="13.5">
      <c r="A122" s="6" t="s">
        <v>128</v>
      </c>
      <c r="B122" s="2">
        <f>B8-B22/1000</f>
        <v>0.20500000000000002</v>
      </c>
      <c r="C122" s="7" t="s">
        <v>22</v>
      </c>
      <c r="D122" s="58" t="s">
        <v>141</v>
      </c>
      <c r="W122" s="95">
        <f t="shared" si="22"/>
        <v>22.266375106009395</v>
      </c>
      <c r="X122" s="1">
        <v>2</v>
      </c>
    </row>
    <row r="123" spans="1:24" ht="12">
      <c r="A123" s="55" t="s">
        <v>22</v>
      </c>
      <c r="B123" s="16">
        <f>ABS(B121)/1000/B122^2/L$21</f>
        <v>0.06931206650130763</v>
      </c>
      <c r="C123" s="7" t="s">
        <v>129</v>
      </c>
      <c r="D123" s="7" t="str">
        <f>IF(B123&lt;0.37,"OK","KO")</f>
        <v>OK</v>
      </c>
      <c r="W123" s="95" t="b">
        <f t="shared" si="22"/>
        <v>0</v>
      </c>
      <c r="X123" s="1">
        <v>3</v>
      </c>
    </row>
    <row r="124" spans="1:24" ht="14.25">
      <c r="A124" s="55" t="s">
        <v>130</v>
      </c>
      <c r="B124" s="104">
        <f>1.25*(1-SQRT(1-2*B123))</f>
        <v>0.08987078642790233</v>
      </c>
      <c r="D124" s="59" t="s">
        <v>138</v>
      </c>
      <c r="W124" s="95">
        <f t="shared" si="22"/>
        <v>6.276630635817362</v>
      </c>
      <c r="X124" s="1">
        <v>4</v>
      </c>
    </row>
    <row r="125" spans="1:24" ht="13.5">
      <c r="A125" s="55" t="s">
        <v>132</v>
      </c>
      <c r="B125" s="5">
        <f>3.5*(1-B124)/B124</f>
        <v>35.44480218894968</v>
      </c>
      <c r="C125" s="1" t="str">
        <f>"≤ "&amp;0.9*T$21&amp;" ?"</f>
        <v>≤ 22,5 ?</v>
      </c>
      <c r="D125" s="58" t="s">
        <v>188</v>
      </c>
      <c r="W125" s="95">
        <f t="shared" si="22"/>
        <v>10.418699888272311</v>
      </c>
      <c r="X125" s="1">
        <v>5</v>
      </c>
    </row>
    <row r="126" spans="1:24" ht="13.5">
      <c r="A126" s="55" t="s">
        <v>133</v>
      </c>
      <c r="B126" s="5">
        <f>L22*(1+(0.05)*(MIN(B125,0.9*T21)-eso)/(25-eso))</f>
        <v>454.14078674948246</v>
      </c>
      <c r="C126" s="7" t="s">
        <v>97</v>
      </c>
      <c r="D126" s="7" t="s">
        <v>143</v>
      </c>
      <c r="W126" s="95">
        <f t="shared" si="22"/>
        <v>21.80776561454964</v>
      </c>
      <c r="X126" s="1">
        <v>6</v>
      </c>
    </row>
    <row r="127" spans="1:24" ht="12">
      <c r="A127" s="6" t="s">
        <v>134</v>
      </c>
      <c r="B127" s="2">
        <f>B122*(1-0.4*B124)</f>
        <v>0.197630595512912</v>
      </c>
      <c r="C127" s="7" t="s">
        <v>22</v>
      </c>
      <c r="D127" s="58" t="s">
        <v>142</v>
      </c>
      <c r="W127" s="95">
        <f t="shared" si="22"/>
        <v>0.6762267499154415</v>
      </c>
      <c r="X127" s="1">
        <v>7</v>
      </c>
    </row>
    <row r="128" spans="1:24" ht="14.25">
      <c r="A128" s="6" t="s">
        <v>135</v>
      </c>
      <c r="B128" s="65">
        <f>-B121/B127/B126*10</f>
        <v>5.409045463511136</v>
      </c>
      <c r="C128" s="7" t="s">
        <v>136</v>
      </c>
      <c r="D128" s="58" t="s">
        <v>144</v>
      </c>
      <c r="F128" s="7" t="s">
        <v>162</v>
      </c>
      <c r="W128" s="96">
        <f t="shared" si="22"/>
        <v>7.717555472794305</v>
      </c>
      <c r="X128" s="1">
        <v>8</v>
      </c>
    </row>
    <row r="129" spans="1:23" ht="12">
      <c r="A129" s="6"/>
      <c r="B129" s="97"/>
      <c r="C129" s="7"/>
      <c r="D129" s="58"/>
      <c r="V129" s="6" t="s">
        <v>152</v>
      </c>
      <c r="W129" s="13">
        <f>noj(W121:W128,B104)</f>
        <v>1</v>
      </c>
    </row>
    <row r="130" spans="1:23" ht="13.5">
      <c r="A130" s="6"/>
      <c r="B130" s="97"/>
      <c r="C130" s="7"/>
      <c r="D130" s="58"/>
      <c r="V130" s="24" t="s">
        <v>93</v>
      </c>
      <c r="W130" s="41">
        <f>ROUND(INDEX(W110:Z117,W129,4),3)</f>
        <v>1.925</v>
      </c>
    </row>
    <row r="131" spans="1:23" ht="12">
      <c r="A131" s="6"/>
      <c r="B131" s="97"/>
      <c r="C131" s="7"/>
      <c r="D131" s="58"/>
      <c r="V131" s="23" t="s">
        <v>94</v>
      </c>
      <c r="W131" s="41">
        <f>ROUND(INDEX(W110:Z117,W129,2),1)</f>
        <v>91.4</v>
      </c>
    </row>
    <row r="132" spans="22:23" ht="13.5">
      <c r="V132" s="6" t="s">
        <v>159</v>
      </c>
      <c r="W132" s="96">
        <f>MAX(W121:W128)</f>
        <v>22.266375106009395</v>
      </c>
    </row>
    <row r="133" spans="25:26" ht="12">
      <c r="Y133" s="1" t="s">
        <v>166</v>
      </c>
      <c r="Z133" s="1" t="s">
        <v>167</v>
      </c>
    </row>
    <row r="134" spans="23:26" ht="13.5">
      <c r="W134" s="6" t="s">
        <v>156</v>
      </c>
      <c r="X134" s="1" t="s">
        <v>160</v>
      </c>
      <c r="Y134" s="100" t="s">
        <v>164</v>
      </c>
      <c r="Z134" s="1" t="s">
        <v>163</v>
      </c>
    </row>
    <row r="135" spans="21:27" ht="12">
      <c r="U135" s="1"/>
      <c r="V135" s="6" t="s">
        <v>151</v>
      </c>
      <c r="W135" s="13">
        <f aca="true" t="shared" si="23" ref="W135:W142">IF(W110=0,Z98,B$29)</f>
        <v>1.9254467367129378</v>
      </c>
      <c r="X135" s="67">
        <f>MIN(B$5,Y110)</f>
        <v>1.2</v>
      </c>
      <c r="Y135" s="66">
        <f>X135*X110*(B$5-X135/2)</f>
        <v>65.82320745800789</v>
      </c>
      <c r="Z135" s="93">
        <f aca="true" t="shared" si="24" ref="Z135:Z142">(F$49+F$50)*AA135*$B$5/2</f>
        <v>19.197</v>
      </c>
      <c r="AA135">
        <f>B17</f>
        <v>1.35</v>
      </c>
    </row>
    <row r="136" spans="23:27" ht="12">
      <c r="W136" s="41">
        <f t="shared" si="23"/>
        <v>2.255369788071682</v>
      </c>
      <c r="X136" s="67">
        <f aca="true" t="shared" si="25" ref="X136:X142">MIN(B$5,Y111)</f>
        <v>1.2</v>
      </c>
      <c r="Y136" s="66">
        <f aca="true" t="shared" si="26" ref="Y136:Y142">X136*X111*(B$5-X136/2)</f>
        <v>56.19436806784602</v>
      </c>
      <c r="Z136" s="93">
        <f t="shared" si="24"/>
        <v>19.197</v>
      </c>
      <c r="AA136">
        <f>AA135</f>
        <v>1.35</v>
      </c>
    </row>
    <row r="137" spans="23:27" ht="12">
      <c r="W137" s="41">
        <f t="shared" si="23"/>
        <v>1.4842244377463485</v>
      </c>
      <c r="X137" s="67">
        <f t="shared" si="25"/>
        <v>1.2</v>
      </c>
      <c r="Y137" s="66">
        <f t="shared" si="26"/>
        <v>62.767326578624235</v>
      </c>
      <c r="Z137" s="93">
        <f t="shared" si="24"/>
        <v>14.219999999999999</v>
      </c>
      <c r="AA137">
        <v>1</v>
      </c>
    </row>
    <row r="138" spans="23:27" ht="12">
      <c r="W138" s="41">
        <f t="shared" si="23"/>
        <v>1.9330628332946909</v>
      </c>
      <c r="X138" s="67">
        <f t="shared" si="25"/>
        <v>1.2</v>
      </c>
      <c r="Y138" s="66">
        <f t="shared" si="26"/>
        <v>48.19336360692309</v>
      </c>
      <c r="Z138" s="93">
        <f t="shared" si="24"/>
        <v>14.219999999999999</v>
      </c>
      <c r="AA138">
        <v>1</v>
      </c>
    </row>
    <row r="139" spans="23:27" ht="12">
      <c r="W139" s="41">
        <f t="shared" si="23"/>
        <v>2.0073012708696734</v>
      </c>
      <c r="X139" s="67">
        <f t="shared" si="25"/>
        <v>1.2</v>
      </c>
      <c r="Y139" s="66">
        <f t="shared" si="26"/>
        <v>58.296719928494284</v>
      </c>
      <c r="Z139" s="93">
        <f t="shared" si="24"/>
        <v>19.197</v>
      </c>
      <c r="AA139">
        <f>AA135</f>
        <v>1.35</v>
      </c>
    </row>
    <row r="140" spans="23:27" ht="12">
      <c r="W140" s="41">
        <f t="shared" si="23"/>
        <v>2.282672979483346</v>
      </c>
      <c r="X140" s="67">
        <f t="shared" si="25"/>
        <v>1.2</v>
      </c>
      <c r="Y140" s="66">
        <f t="shared" si="26"/>
        <v>51.264057993311766</v>
      </c>
      <c r="Z140" s="93">
        <f t="shared" si="24"/>
        <v>19.197</v>
      </c>
      <c r="AA140">
        <f>AA136</f>
        <v>1.35</v>
      </c>
    </row>
    <row r="141" spans="23:27" ht="12">
      <c r="W141" s="41">
        <f t="shared" si="23"/>
        <v>1.635549464241216</v>
      </c>
      <c r="X141" s="67">
        <f t="shared" si="25"/>
        <v>1.2</v>
      </c>
      <c r="Y141" s="66">
        <f t="shared" si="26"/>
        <v>52.99796911994587</v>
      </c>
      <c r="Z141" s="93">
        <f t="shared" si="24"/>
        <v>14.219999999999999</v>
      </c>
      <c r="AA141">
        <f>AA137</f>
        <v>1</v>
      </c>
    </row>
    <row r="142" spans="23:27" ht="12">
      <c r="W142" s="11">
        <f t="shared" si="23"/>
        <v>2.0073012708696734</v>
      </c>
      <c r="X142" s="67">
        <f t="shared" si="25"/>
        <v>1.2</v>
      </c>
      <c r="Y142" s="66">
        <f t="shared" si="26"/>
        <v>43.18275550258836</v>
      </c>
      <c r="Z142" s="93">
        <f t="shared" si="24"/>
        <v>14.219999999999999</v>
      </c>
      <c r="AA142">
        <f>AA138</f>
        <v>1</v>
      </c>
    </row>
    <row r="143" spans="22:23" ht="12">
      <c r="V143" s="6" t="s">
        <v>152</v>
      </c>
      <c r="W143" s="13">
        <f>noj(Y135:Y142,W146)</f>
        <v>1</v>
      </c>
    </row>
    <row r="144" spans="22:27" ht="13.5">
      <c r="V144" s="24" t="s">
        <v>160</v>
      </c>
      <c r="W144" s="41">
        <f>INDEX(X135:X142,$W143,1)</f>
        <v>1.2</v>
      </c>
      <c r="Y144" s="2">
        <f>INDEX(Y135:Y142,$W143,1)</f>
        <v>65.82320745800789</v>
      </c>
      <c r="Z144" s="2">
        <f>INDEX(Z135:Z142,$W143,1)</f>
        <v>19.197</v>
      </c>
      <c r="AA144" s="41"/>
    </row>
    <row r="145" spans="22:26" ht="12">
      <c r="V145" s="23" t="s">
        <v>94</v>
      </c>
      <c r="W145" s="41">
        <f>INDEX(X110:X117,W143)</f>
        <v>91.4211214694554</v>
      </c>
      <c r="Y145" s="1">
        <f>ROUND(Y144,2)</f>
        <v>65.82</v>
      </c>
      <c r="Z145" s="1">
        <f>ROUND(Z144,2)</f>
        <v>19.2</v>
      </c>
    </row>
    <row r="146" spans="22:23" ht="13.5">
      <c r="V146" s="6" t="s">
        <v>159</v>
      </c>
      <c r="W146" s="51">
        <f>MAX(Y135:Y142)</f>
        <v>65.82320745800789</v>
      </c>
    </row>
    <row r="147" ht="12">
      <c r="W147" s="13" t="s">
        <v>165</v>
      </c>
    </row>
    <row r="148" ht="12">
      <c r="W148" s="41">
        <f>ROUND(W144,3)</f>
        <v>1.2</v>
      </c>
    </row>
    <row r="149" ht="12">
      <c r="W149" s="41">
        <f>ROUND(W145,1)</f>
        <v>91.4</v>
      </c>
    </row>
    <row r="150" spans="19:23" ht="12">
      <c r="S150" s="99"/>
      <c r="W150" s="51">
        <f>ROUND(W146,2)</f>
        <v>65.82</v>
      </c>
    </row>
  </sheetData>
  <sheetProtection password="DE57" sheet="1" objects="1" scenarios="1" selectLockedCells="1"/>
  <mergeCells count="2">
    <mergeCell ref="B37:C37"/>
    <mergeCell ref="B1:I1"/>
  </mergeCells>
  <conditionalFormatting sqref="A63 D71:E71 K29">
    <cfRule type="cellIs" priority="1" dxfId="0" operator="equal" stopIfTrue="1">
      <formula>"KO"</formula>
    </cfRule>
  </conditionalFormatting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6" r:id="rId9"/>
  <rowBreaks count="2" manualBreakCount="2">
    <brk id="71" max="15" man="1"/>
    <brk id="128" max="15" man="1"/>
  </rowBreaks>
  <drawing r:id="rId8"/>
  <legacyDrawing r:id="rId7"/>
  <oleObjects>
    <oleObject progId="Designer.Drawing.7" shapeId="131734" r:id="rId2"/>
    <oleObject progId="Equation.3" shapeId="1660484" r:id="rId3"/>
    <oleObject progId="Designer.Drawing.7" shapeId="1891720" r:id="rId4"/>
    <oleObject progId="Designer.Drawing.7" shapeId="1898371" r:id="rId5"/>
    <oleObject progId="Designer.Drawing.7" shapeId="190005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mactho1</dc:creator>
  <cp:keywords/>
  <dc:description/>
  <cp:lastModifiedBy>Henry</cp:lastModifiedBy>
  <cp:lastPrinted>2015-01-20T17:36:03Z</cp:lastPrinted>
  <dcterms:created xsi:type="dcterms:W3CDTF">2010-05-01T14:33:40Z</dcterms:created>
  <dcterms:modified xsi:type="dcterms:W3CDTF">2021-10-06T17:07:28Z</dcterms:modified>
  <cp:category/>
  <cp:version/>
  <cp:contentType/>
  <cp:contentStatus/>
</cp:coreProperties>
</file>