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5" yWindow="75" windowWidth="11595" windowHeight="10770" activeTab="0"/>
  </bookViews>
  <sheets>
    <sheet name="Feuil1" sheetId="1" r:id="rId1"/>
    <sheet name="Feuil2" sheetId="2" r:id="rId2"/>
    <sheet name="Feuil3" sheetId="3" r:id="rId3"/>
  </sheets>
  <definedNames>
    <definedName name="clacen">'Feuil1'!#REF!</definedName>
    <definedName name="fck">'Feuil1'!$B$18</definedName>
    <definedName name="gc">'Feuil1'!#REF!</definedName>
    <definedName name="ntc">'Feuil1'!$B$18</definedName>
    <definedName name="tabfck">'Feuil1'!$AK$4:$AR$17</definedName>
    <definedName name="tabfckmin">'Feuil1'!$AL$20:$AM$36</definedName>
    <definedName name="tabtr">'Feuil1'!$AH$32:$AJ$35</definedName>
    <definedName name="TabXCB">'Feuil1'!$AC$4:$AI$9</definedName>
    <definedName name="TabXCP">'Feuil1'!$AC$13:$AI$18</definedName>
  </definedNames>
  <calcPr calcMode="manual" fullCalcOnLoad="1"/>
</workbook>
</file>

<file path=xl/sharedStrings.xml><?xml version="1.0" encoding="utf-8"?>
<sst xmlns="http://schemas.openxmlformats.org/spreadsheetml/2006/main" count="373" uniqueCount="268">
  <si>
    <t>Données</t>
  </si>
  <si>
    <r>
      <t>f</t>
    </r>
    <r>
      <rPr>
        <vertAlign val="subscript"/>
        <sz val="9"/>
        <rFont val="Arial"/>
        <family val="2"/>
      </rPr>
      <t>ck</t>
    </r>
  </si>
  <si>
    <r>
      <t>f</t>
    </r>
    <r>
      <rPr>
        <vertAlign val="subscript"/>
        <sz val="9"/>
        <rFont val="Arial"/>
        <family val="2"/>
      </rPr>
      <t>yk</t>
    </r>
  </si>
  <si>
    <r>
      <t>g</t>
    </r>
    <r>
      <rPr>
        <vertAlign val="subscript"/>
        <sz val="9"/>
        <rFont val="Arial"/>
        <family val="2"/>
      </rPr>
      <t>C</t>
    </r>
  </si>
  <si>
    <r>
      <t>g</t>
    </r>
    <r>
      <rPr>
        <vertAlign val="subscript"/>
        <sz val="9"/>
        <rFont val="Arial"/>
        <family val="2"/>
      </rPr>
      <t>S</t>
    </r>
  </si>
  <si>
    <r>
      <t>f</t>
    </r>
    <r>
      <rPr>
        <vertAlign val="subscript"/>
        <sz val="9"/>
        <rFont val="Arial"/>
        <family val="2"/>
      </rPr>
      <t>yd</t>
    </r>
  </si>
  <si>
    <r>
      <t>cm</t>
    </r>
    <r>
      <rPr>
        <vertAlign val="superscript"/>
        <sz val="9"/>
        <rFont val="Arial"/>
        <family val="2"/>
      </rPr>
      <t>2</t>
    </r>
  </si>
  <si>
    <t>MPa</t>
  </si>
  <si>
    <t>m</t>
  </si>
  <si>
    <t>XC1</t>
  </si>
  <si>
    <t>TabXCB</t>
  </si>
  <si>
    <t>Classe d’exposition</t>
  </si>
  <si>
    <t>BA</t>
  </si>
  <si>
    <t>X0</t>
  </si>
  <si>
    <t>XC2/XC3</t>
  </si>
  <si>
    <t>XC4</t>
  </si>
  <si>
    <t>XD1/XS1</t>
  </si>
  <si>
    <t>XD2/XS2</t>
  </si>
  <si>
    <t>XD3/XS3</t>
  </si>
  <si>
    <t>S1</t>
  </si>
  <si>
    <t>S2</t>
  </si>
  <si>
    <t>S3</t>
  </si>
  <si>
    <t>S4</t>
  </si>
  <si>
    <t>S5</t>
  </si>
  <si>
    <t>S6</t>
  </si>
  <si>
    <t>A</t>
  </si>
  <si>
    <t>32,5N</t>
  </si>
  <si>
    <t>B</t>
  </si>
  <si>
    <t>XC2</t>
  </si>
  <si>
    <t>32,5R</t>
  </si>
  <si>
    <t>C</t>
  </si>
  <si>
    <t>XC3</t>
  </si>
  <si>
    <t>42,5N</t>
  </si>
  <si>
    <t>D</t>
  </si>
  <si>
    <t>42,5R</t>
  </si>
  <si>
    <t>E</t>
  </si>
  <si>
    <t>XD1</t>
  </si>
  <si>
    <t>52,5N</t>
  </si>
  <si>
    <t>F</t>
  </si>
  <si>
    <t>XD2</t>
  </si>
  <si>
    <t>G</t>
  </si>
  <si>
    <t>XD3</t>
  </si>
  <si>
    <t>H</t>
  </si>
  <si>
    <t>XS1</t>
  </si>
  <si>
    <t>I</t>
  </si>
  <si>
    <t>XS2</t>
  </si>
  <si>
    <t>K</t>
  </si>
  <si>
    <t>XS3</t>
  </si>
  <si>
    <t>TabXCP</t>
  </si>
  <si>
    <t>BP</t>
  </si>
  <si>
    <t>mm</t>
  </si>
  <si>
    <r>
      <t>s</t>
    </r>
    <r>
      <rPr>
        <vertAlign val="subscript"/>
        <sz val="9"/>
        <rFont val="Arial"/>
        <family val="2"/>
      </rPr>
      <t>s</t>
    </r>
  </si>
  <si>
    <r>
      <t>A</t>
    </r>
    <r>
      <rPr>
        <vertAlign val="subscript"/>
        <sz val="9"/>
        <rFont val="Arial"/>
        <family val="2"/>
      </rPr>
      <t>s</t>
    </r>
  </si>
  <si>
    <r>
      <t>f</t>
    </r>
    <r>
      <rPr>
        <vertAlign val="subscript"/>
        <sz val="9"/>
        <rFont val="Arial"/>
        <family val="2"/>
      </rPr>
      <t>ctm</t>
    </r>
  </si>
  <si>
    <t>Caractéristiques des bétons</t>
  </si>
  <si>
    <r>
      <t>E</t>
    </r>
    <r>
      <rPr>
        <vertAlign val="subscript"/>
        <sz val="9"/>
        <rFont val="Arial"/>
        <family val="2"/>
      </rPr>
      <t>cm</t>
    </r>
  </si>
  <si>
    <r>
      <t>e</t>
    </r>
    <r>
      <rPr>
        <vertAlign val="subscript"/>
        <sz val="9"/>
        <rFont val="Arial"/>
        <family val="2"/>
      </rPr>
      <t>cu1</t>
    </r>
  </si>
  <si>
    <r>
      <t>e</t>
    </r>
    <r>
      <rPr>
        <vertAlign val="subscript"/>
        <sz val="9"/>
        <rFont val="Arial"/>
        <family val="2"/>
      </rPr>
      <t>c1</t>
    </r>
  </si>
  <si>
    <r>
      <t>e</t>
    </r>
    <r>
      <rPr>
        <vertAlign val="subscript"/>
        <sz val="9"/>
        <rFont val="Arial"/>
        <family val="2"/>
      </rPr>
      <t>cu2</t>
    </r>
  </si>
  <si>
    <r>
      <t>e</t>
    </r>
    <r>
      <rPr>
        <vertAlign val="subscript"/>
        <sz val="9"/>
        <rFont val="Arial"/>
        <family val="2"/>
      </rPr>
      <t>c2</t>
    </r>
  </si>
  <si>
    <t>n</t>
  </si>
  <si>
    <t>coefficient béton</t>
  </si>
  <si>
    <t>limite élastique de l'acier</t>
  </si>
  <si>
    <t>coefficient acier</t>
  </si>
  <si>
    <t>52,5R</t>
  </si>
  <si>
    <t>Résultats</t>
  </si>
  <si>
    <t>contrainte de calcul acier</t>
  </si>
  <si>
    <t>H. Thonier</t>
  </si>
  <si>
    <t>L'auteur n'est pas</t>
  </si>
  <si>
    <t>de ce programme</t>
  </si>
  <si>
    <t>responsable de</t>
  </si>
  <si>
    <t>l'utilisation faite</t>
  </si>
  <si>
    <t>XF1</t>
  </si>
  <si>
    <t>XA1</t>
  </si>
  <si>
    <t>XF2</t>
  </si>
  <si>
    <t>XF3</t>
  </si>
  <si>
    <t>XA2</t>
  </si>
  <si>
    <t>XA3</t>
  </si>
  <si>
    <r>
      <t>f</t>
    </r>
    <r>
      <rPr>
        <vertAlign val="subscript"/>
        <sz val="9"/>
        <rFont val="Arial"/>
        <family val="2"/>
      </rPr>
      <t>ck,min</t>
    </r>
  </si>
  <si>
    <r>
      <t>h</t>
    </r>
    <r>
      <rPr>
        <vertAlign val="subscript"/>
        <sz val="9"/>
        <rFont val="Arial"/>
        <family val="2"/>
      </rPr>
      <t>1</t>
    </r>
  </si>
  <si>
    <r>
      <t>h</t>
    </r>
    <r>
      <rPr>
        <vertAlign val="subscript"/>
        <sz val="9"/>
        <rFont val="Arial"/>
        <family val="2"/>
      </rPr>
      <t>2</t>
    </r>
  </si>
  <si>
    <r>
      <t>d</t>
    </r>
    <r>
      <rPr>
        <vertAlign val="subscript"/>
        <sz val="9"/>
        <rFont val="Arial"/>
        <family val="2"/>
      </rPr>
      <t>1</t>
    </r>
  </si>
  <si>
    <r>
      <t>d</t>
    </r>
    <r>
      <rPr>
        <vertAlign val="subscript"/>
        <sz val="9"/>
        <rFont val="Arial"/>
        <family val="2"/>
      </rPr>
      <t>2</t>
    </r>
  </si>
  <si>
    <r>
      <t>g</t>
    </r>
    <r>
      <rPr>
        <vertAlign val="subscript"/>
        <sz val="9"/>
        <rFont val="Arial"/>
        <family val="2"/>
      </rPr>
      <t>1</t>
    </r>
  </si>
  <si>
    <r>
      <t>g</t>
    </r>
    <r>
      <rPr>
        <vertAlign val="subscript"/>
        <sz val="9"/>
        <rFont val="Arial"/>
        <family val="2"/>
      </rPr>
      <t>2</t>
    </r>
  </si>
  <si>
    <r>
      <t>kN/m</t>
    </r>
    <r>
      <rPr>
        <vertAlign val="superscript"/>
        <sz val="9"/>
        <rFont val="Arial"/>
        <family val="2"/>
      </rPr>
      <t>2</t>
    </r>
  </si>
  <si>
    <t>r</t>
  </si>
  <si>
    <r>
      <t>kN/m</t>
    </r>
    <r>
      <rPr>
        <vertAlign val="superscript"/>
        <sz val="9"/>
        <rFont val="Arial"/>
        <family val="2"/>
      </rPr>
      <t>3</t>
    </r>
  </si>
  <si>
    <t>poids volumique du béton</t>
  </si>
  <si>
    <t>charge d'exploitation</t>
  </si>
  <si>
    <r>
      <t>g</t>
    </r>
    <r>
      <rPr>
        <vertAlign val="subscript"/>
        <sz val="9"/>
        <rFont val="Arial"/>
        <family val="2"/>
      </rPr>
      <t>g</t>
    </r>
  </si>
  <si>
    <r>
      <t>g</t>
    </r>
    <r>
      <rPr>
        <vertAlign val="subscript"/>
        <sz val="9"/>
        <rFont val="Arial"/>
        <family val="2"/>
      </rPr>
      <t>q</t>
    </r>
  </si>
  <si>
    <t>coefficient sur charges d'exploitation</t>
  </si>
  <si>
    <t>L</t>
  </si>
  <si>
    <t>kNm</t>
  </si>
  <si>
    <r>
      <t>M</t>
    </r>
    <r>
      <rPr>
        <vertAlign val="subscript"/>
        <sz val="9"/>
        <rFont val="Arial"/>
        <family val="2"/>
      </rPr>
      <t>Ed</t>
    </r>
  </si>
  <si>
    <r>
      <t>A</t>
    </r>
    <r>
      <rPr>
        <vertAlign val="subscript"/>
        <sz val="9"/>
        <rFont val="Arial"/>
        <family val="2"/>
      </rPr>
      <t>s,min</t>
    </r>
  </si>
  <si>
    <r>
      <t>= f</t>
    </r>
    <r>
      <rPr>
        <vertAlign val="subscript"/>
        <sz val="9"/>
        <rFont val="Arial"/>
        <family val="2"/>
      </rPr>
      <t>yk</t>
    </r>
    <r>
      <rPr>
        <sz val="9"/>
        <rFont val="Arial"/>
        <family val="0"/>
      </rPr>
      <t>/</t>
    </r>
    <r>
      <rPr>
        <sz val="9"/>
        <rFont val="Symbol"/>
        <family val="1"/>
      </rPr>
      <t>g</t>
    </r>
    <r>
      <rPr>
        <vertAlign val="subscript"/>
        <sz val="9"/>
        <rFont val="Arial"/>
        <family val="2"/>
      </rPr>
      <t>S</t>
    </r>
  </si>
  <si>
    <t>a</t>
  </si>
  <si>
    <t>b</t>
  </si>
  <si>
    <t>z</t>
  </si>
  <si>
    <t>s</t>
  </si>
  <si>
    <t>Ø</t>
  </si>
  <si>
    <t>coefficient sur charges permanentes</t>
  </si>
  <si>
    <t>Catégorie A : habitation, zones résidentielles</t>
  </si>
  <si>
    <t>Catégorie B : bureaux</t>
  </si>
  <si>
    <t>Catégorie C : lieux de réunion</t>
  </si>
  <si>
    <t>Catégorie D : commerces</t>
  </si>
  <si>
    <t>- pour les dalles dont l'épaisseur totale n'excède pas 200 mm, la maîtrise de la fissuration n'est pas exigée</t>
  </si>
  <si>
    <t>k</t>
  </si>
  <si>
    <t>= 0,4</t>
  </si>
  <si>
    <t>= 1 si h ≤ 300 ; = 0,65 si h &gt; 800, interpolé entre les deux</t>
  </si>
  <si>
    <t>= h/2</t>
  </si>
  <si>
    <t>Section minimale d'armature (§ 9.2.1.1)</t>
  </si>
  <si>
    <t>Section minimale d'armature (§ 7.3.2)</t>
  </si>
  <si>
    <t>Cisaillement</t>
  </si>
  <si>
    <r>
      <t>v</t>
    </r>
    <r>
      <rPr>
        <vertAlign val="subscript"/>
        <sz val="9"/>
        <rFont val="Arial"/>
        <family val="2"/>
      </rPr>
      <t>Rd,c</t>
    </r>
  </si>
  <si>
    <r>
      <t>= 0,12 k.(100</t>
    </r>
    <r>
      <rPr>
        <sz val="9"/>
        <rFont val="Symbol"/>
        <family val="1"/>
      </rPr>
      <t>r</t>
    </r>
    <r>
      <rPr>
        <vertAlign val="subscript"/>
        <sz val="9"/>
        <rFont val="Arial"/>
        <family val="2"/>
      </rPr>
      <t>l</t>
    </r>
    <r>
      <rPr>
        <sz val="9"/>
        <rFont val="Arial"/>
        <family val="0"/>
      </rPr>
      <t>.f</t>
    </r>
    <r>
      <rPr>
        <vertAlign val="subscript"/>
        <sz val="9"/>
        <rFont val="Arial"/>
        <family val="2"/>
      </rPr>
      <t>ck</t>
    </r>
    <r>
      <rPr>
        <sz val="9"/>
        <rFont val="Arial"/>
        <family val="0"/>
      </rPr>
      <t>)</t>
    </r>
    <r>
      <rPr>
        <vertAlign val="superscript"/>
        <sz val="9"/>
        <rFont val="Arial"/>
        <family val="2"/>
      </rPr>
      <t>1/3</t>
    </r>
  </si>
  <si>
    <r>
      <t>r</t>
    </r>
    <r>
      <rPr>
        <vertAlign val="subscript"/>
        <sz val="9"/>
        <rFont val="Arial"/>
        <family val="2"/>
      </rPr>
      <t>l</t>
    </r>
  </si>
  <si>
    <r>
      <t>v</t>
    </r>
    <r>
      <rPr>
        <vertAlign val="subscript"/>
        <sz val="9"/>
        <rFont val="Arial"/>
        <family val="2"/>
      </rPr>
      <t>min</t>
    </r>
  </si>
  <si>
    <r>
      <t>k</t>
    </r>
    <r>
      <rPr>
        <vertAlign val="subscript"/>
        <sz val="9"/>
        <rFont val="Arial"/>
        <family val="2"/>
      </rPr>
      <t>c</t>
    </r>
  </si>
  <si>
    <r>
      <t>A</t>
    </r>
    <r>
      <rPr>
        <vertAlign val="subscript"/>
        <sz val="9"/>
        <rFont val="Arial"/>
        <family val="2"/>
      </rPr>
      <t>ct</t>
    </r>
  </si>
  <si>
    <r>
      <t>m</t>
    </r>
    <r>
      <rPr>
        <vertAlign val="superscript"/>
        <sz val="9"/>
        <rFont val="Arial"/>
        <family val="2"/>
      </rPr>
      <t>2</t>
    </r>
  </si>
  <si>
    <r>
      <t>f</t>
    </r>
    <r>
      <rPr>
        <vertAlign val="subscript"/>
        <sz val="9"/>
        <rFont val="Arial"/>
        <family val="2"/>
      </rPr>
      <t>ct,eff</t>
    </r>
  </si>
  <si>
    <r>
      <t>= f</t>
    </r>
    <r>
      <rPr>
        <vertAlign val="subscript"/>
        <sz val="9"/>
        <rFont val="Arial"/>
        <family val="2"/>
      </rPr>
      <t>ctm</t>
    </r>
  </si>
  <si>
    <r>
      <t>= f</t>
    </r>
    <r>
      <rPr>
        <vertAlign val="subscript"/>
        <sz val="9"/>
        <rFont val="Arial"/>
        <family val="2"/>
      </rPr>
      <t>yk</t>
    </r>
  </si>
  <si>
    <r>
      <t xml:space="preserve"> = Max[0,26f</t>
    </r>
    <r>
      <rPr>
        <vertAlign val="subscript"/>
        <sz val="9"/>
        <rFont val="Arial"/>
        <family val="2"/>
      </rPr>
      <t>ctm</t>
    </r>
    <r>
      <rPr>
        <sz val="9"/>
        <rFont val="Arial"/>
        <family val="0"/>
      </rPr>
      <t>.d</t>
    </r>
    <r>
      <rPr>
        <vertAlign val="subscript"/>
        <sz val="9"/>
        <rFont val="Arial"/>
        <family val="2"/>
      </rPr>
      <t>2</t>
    </r>
    <r>
      <rPr>
        <sz val="9"/>
        <rFont val="Arial"/>
        <family val="0"/>
      </rPr>
      <t>/f</t>
    </r>
    <r>
      <rPr>
        <vertAlign val="subscript"/>
        <sz val="9"/>
        <rFont val="Arial"/>
        <family val="2"/>
      </rPr>
      <t>yk</t>
    </r>
    <r>
      <rPr>
        <sz val="9"/>
        <rFont val="Arial"/>
        <family val="0"/>
      </rPr>
      <t xml:space="preserve"> ; 0,0013 d</t>
    </r>
    <r>
      <rPr>
        <vertAlign val="subscript"/>
        <sz val="9"/>
        <rFont val="Arial"/>
        <family val="2"/>
      </rPr>
      <t>2</t>
    </r>
    <r>
      <rPr>
        <sz val="9"/>
        <rFont val="Arial"/>
        <family val="0"/>
      </rPr>
      <t>]</t>
    </r>
  </si>
  <si>
    <r>
      <t>= 0,34f</t>
    </r>
    <r>
      <rPr>
        <vertAlign val="subscript"/>
        <sz val="9"/>
        <rFont val="Arial"/>
        <family val="2"/>
      </rPr>
      <t>ck</t>
    </r>
    <r>
      <rPr>
        <vertAlign val="superscript"/>
        <sz val="9"/>
        <rFont val="Arial"/>
        <family val="2"/>
      </rPr>
      <t>1/2</t>
    </r>
    <r>
      <rPr>
        <sz val="9"/>
        <rFont val="Arial"/>
        <family val="0"/>
      </rPr>
      <t>/</t>
    </r>
    <r>
      <rPr>
        <sz val="9"/>
        <rFont val="Symbol"/>
        <family val="1"/>
      </rPr>
      <t>g</t>
    </r>
    <r>
      <rPr>
        <vertAlign val="subscript"/>
        <sz val="9"/>
        <rFont val="Arial"/>
        <family val="2"/>
      </rPr>
      <t>C</t>
    </r>
    <r>
      <rPr>
        <sz val="9"/>
        <rFont val="Arial"/>
        <family val="0"/>
      </rPr>
      <t xml:space="preserve">  ou  0,053k</t>
    </r>
    <r>
      <rPr>
        <vertAlign val="superscript"/>
        <sz val="9"/>
        <rFont val="Arial"/>
        <family val="2"/>
      </rPr>
      <t>3/2</t>
    </r>
    <r>
      <rPr>
        <sz val="9"/>
        <rFont val="Arial"/>
        <family val="0"/>
      </rPr>
      <t>.f</t>
    </r>
    <r>
      <rPr>
        <vertAlign val="subscript"/>
        <sz val="9"/>
        <rFont val="Arial"/>
        <family val="2"/>
      </rPr>
      <t>ck</t>
    </r>
    <r>
      <rPr>
        <vertAlign val="superscript"/>
        <sz val="9"/>
        <rFont val="Arial"/>
        <family val="2"/>
      </rPr>
      <t>1/2</t>
    </r>
  </si>
  <si>
    <r>
      <t>= k</t>
    </r>
    <r>
      <rPr>
        <vertAlign val="subscript"/>
        <sz val="9"/>
        <rFont val="Arial"/>
        <family val="2"/>
      </rPr>
      <t>c</t>
    </r>
    <r>
      <rPr>
        <sz val="9"/>
        <rFont val="Arial"/>
        <family val="0"/>
      </rPr>
      <t>.k.f</t>
    </r>
    <r>
      <rPr>
        <vertAlign val="subscript"/>
        <sz val="9"/>
        <rFont val="Arial"/>
        <family val="2"/>
      </rPr>
      <t>ct,eff</t>
    </r>
    <r>
      <rPr>
        <sz val="9"/>
        <rFont val="Arial"/>
        <family val="0"/>
      </rPr>
      <t>.A</t>
    </r>
    <r>
      <rPr>
        <vertAlign val="subscript"/>
        <sz val="9"/>
        <rFont val="Arial"/>
        <family val="2"/>
      </rPr>
      <t>ct</t>
    </r>
    <r>
      <rPr>
        <sz val="9"/>
        <rFont val="Arial"/>
        <family val="0"/>
      </rPr>
      <t>/</t>
    </r>
    <r>
      <rPr>
        <sz val="9"/>
        <rFont val="Symbol"/>
        <family val="1"/>
      </rPr>
      <t>s</t>
    </r>
    <r>
      <rPr>
        <vertAlign val="subscript"/>
        <sz val="9"/>
        <rFont val="Arial"/>
        <family val="2"/>
      </rPr>
      <t>s</t>
    </r>
  </si>
  <si>
    <t>Maîtrise de la fissuration-Ouverture des fissures (EC2/NA, §7.3.1 (5) NOTE) et § 7.3.4</t>
  </si>
  <si>
    <t>longueur paillasse</t>
  </si>
  <si>
    <t>épaisseur paillasse</t>
  </si>
  <si>
    <t>épaisseur voile gauche</t>
  </si>
  <si>
    <t>épaisseur voile droit</t>
  </si>
  <si>
    <r>
      <t>e</t>
    </r>
    <r>
      <rPr>
        <vertAlign val="subscript"/>
        <sz val="9"/>
        <rFont val="Arial"/>
        <family val="2"/>
      </rPr>
      <t>1</t>
    </r>
  </si>
  <si>
    <r>
      <t>e</t>
    </r>
    <r>
      <rPr>
        <vertAlign val="subscript"/>
        <sz val="9"/>
        <rFont val="Arial"/>
        <family val="2"/>
      </rPr>
      <t>2</t>
    </r>
  </si>
  <si>
    <r>
      <t>q</t>
    </r>
  </si>
  <si>
    <t>résistance du béton</t>
  </si>
  <si>
    <t>hauteur contremarche</t>
  </si>
  <si>
    <r>
      <t>h</t>
    </r>
    <r>
      <rPr>
        <vertAlign val="subscript"/>
        <sz val="9"/>
        <rFont val="Arial"/>
        <family val="2"/>
      </rPr>
      <t>3</t>
    </r>
  </si>
  <si>
    <t>kN/m</t>
  </si>
  <si>
    <t>portée de calcul</t>
  </si>
  <si>
    <t>°</t>
  </si>
  <si>
    <r>
      <t>L</t>
    </r>
    <r>
      <rPr>
        <vertAlign val="subscript"/>
        <sz val="9"/>
        <rFont val="Arial"/>
        <family val="2"/>
      </rPr>
      <t>0</t>
    </r>
  </si>
  <si>
    <t>longueur marche</t>
  </si>
  <si>
    <r>
      <t>f</t>
    </r>
    <r>
      <rPr>
        <vertAlign val="subscript"/>
        <sz val="9"/>
        <rFont val="Arial"/>
        <family val="2"/>
      </rPr>
      <t>cd</t>
    </r>
  </si>
  <si>
    <r>
      <t>= f</t>
    </r>
    <r>
      <rPr>
        <vertAlign val="subscript"/>
        <sz val="9"/>
        <rFont val="Arial"/>
        <family val="2"/>
      </rPr>
      <t>ck</t>
    </r>
    <r>
      <rPr>
        <sz val="9"/>
        <rFont val="Arial"/>
        <family val="0"/>
      </rPr>
      <t>/</t>
    </r>
    <r>
      <rPr>
        <sz val="9"/>
        <rFont val="Symbol"/>
        <family val="1"/>
      </rPr>
      <t>g</t>
    </r>
    <r>
      <rPr>
        <vertAlign val="subscript"/>
        <sz val="9"/>
        <rFont val="Arial"/>
        <family val="2"/>
      </rPr>
      <t>C</t>
    </r>
  </si>
  <si>
    <t>hauteur utile paillasse</t>
  </si>
  <si>
    <t>classe d'exposition</t>
  </si>
  <si>
    <t>Classex(TabXCB; TabXCP; fck; clas; duree; liant; code)</t>
  </si>
  <si>
    <t>classe de ciment</t>
  </si>
  <si>
    <r>
      <t>D</t>
    </r>
    <r>
      <rPr>
        <sz val="9"/>
        <rFont val="Arial"/>
        <family val="0"/>
      </rPr>
      <t>c</t>
    </r>
    <r>
      <rPr>
        <vertAlign val="subscript"/>
        <sz val="9"/>
        <rFont val="Arial"/>
        <family val="2"/>
      </rPr>
      <t>dev</t>
    </r>
  </si>
  <si>
    <r>
      <t>c</t>
    </r>
    <r>
      <rPr>
        <vertAlign val="subscript"/>
        <sz val="9"/>
        <rFont val="Arial"/>
        <family val="2"/>
      </rPr>
      <t>nom1</t>
    </r>
  </si>
  <si>
    <r>
      <t>c</t>
    </r>
    <r>
      <rPr>
        <vertAlign val="subscript"/>
        <sz val="9"/>
        <rFont val="Arial"/>
        <family val="2"/>
      </rPr>
      <t>nom2</t>
    </r>
  </si>
  <si>
    <t>inclinaison paillasse</t>
  </si>
  <si>
    <t>diamètre armature principale</t>
  </si>
  <si>
    <r>
      <t>= h</t>
    </r>
    <r>
      <rPr>
        <vertAlign val="subscript"/>
        <sz val="9"/>
        <rFont val="Arial"/>
        <family val="2"/>
      </rPr>
      <t>1</t>
    </r>
    <r>
      <rPr>
        <sz val="9"/>
        <rFont val="Arial"/>
        <family val="0"/>
      </rPr>
      <t>-c</t>
    </r>
    <r>
      <rPr>
        <vertAlign val="subscript"/>
        <sz val="9"/>
        <rFont val="Arial"/>
        <family val="2"/>
      </rPr>
      <t>nom1</t>
    </r>
    <r>
      <rPr>
        <sz val="9"/>
        <rFont val="Arial"/>
        <family val="2"/>
      </rPr>
      <t>-Ø</t>
    </r>
    <r>
      <rPr>
        <sz val="9"/>
        <rFont val="Arial"/>
        <family val="0"/>
      </rPr>
      <t>/2</t>
    </r>
  </si>
  <si>
    <r>
      <t>= h</t>
    </r>
    <r>
      <rPr>
        <vertAlign val="subscript"/>
        <sz val="9"/>
        <rFont val="Arial"/>
        <family val="2"/>
      </rPr>
      <t>2</t>
    </r>
    <r>
      <rPr>
        <sz val="9"/>
        <rFont val="Arial"/>
        <family val="0"/>
      </rPr>
      <t>-c</t>
    </r>
    <r>
      <rPr>
        <vertAlign val="subscript"/>
        <sz val="9"/>
        <rFont val="Arial"/>
        <family val="2"/>
      </rPr>
      <t>nom2</t>
    </r>
    <r>
      <rPr>
        <sz val="9"/>
        <rFont val="Arial"/>
        <family val="2"/>
      </rPr>
      <t>-Ø</t>
    </r>
    <r>
      <rPr>
        <sz val="9"/>
        <rFont val="Arial"/>
        <family val="0"/>
      </rPr>
      <t>/2</t>
    </r>
  </si>
  <si>
    <r>
      <t>=(</t>
    </r>
    <r>
      <rPr>
        <sz val="9"/>
        <rFont val="Symbol"/>
        <family val="1"/>
      </rPr>
      <t>p</t>
    </r>
    <r>
      <rPr>
        <sz val="9"/>
        <rFont val="Arial"/>
        <family val="0"/>
      </rPr>
      <t>.</t>
    </r>
    <r>
      <rPr>
        <sz val="9"/>
        <rFont val="Arial"/>
        <family val="2"/>
      </rPr>
      <t>Ø</t>
    </r>
    <r>
      <rPr>
        <vertAlign val="superscript"/>
        <sz val="9"/>
        <rFont val="Arial"/>
        <family val="2"/>
      </rPr>
      <t>2</t>
    </r>
    <r>
      <rPr>
        <sz val="9"/>
        <rFont val="Arial"/>
        <family val="0"/>
      </rPr>
      <t>/4)/A</t>
    </r>
    <r>
      <rPr>
        <vertAlign val="subscript"/>
        <sz val="9"/>
        <rFont val="Arial"/>
        <family val="2"/>
      </rPr>
      <t>s</t>
    </r>
  </si>
  <si>
    <t>contrainte de calcul béton</t>
  </si>
  <si>
    <t>charge permanente paillasse</t>
  </si>
  <si>
    <t>bras de levier</t>
  </si>
  <si>
    <r>
      <t>Ø</t>
    </r>
    <r>
      <rPr>
        <vertAlign val="subscript"/>
        <sz val="9"/>
        <rFont val="Arial"/>
        <family val="2"/>
      </rPr>
      <t>t</t>
    </r>
  </si>
  <si>
    <t>c</t>
  </si>
  <si>
    <t>longueur palier gauche</t>
  </si>
  <si>
    <t>longueur palier droit</t>
  </si>
  <si>
    <t>épaisseur palier gauche</t>
  </si>
  <si>
    <r>
      <t>h</t>
    </r>
    <r>
      <rPr>
        <vertAlign val="subscript"/>
        <sz val="9"/>
        <rFont val="Arial"/>
        <family val="2"/>
      </rPr>
      <t>0</t>
    </r>
  </si>
  <si>
    <t>épaisseur palier droit</t>
  </si>
  <si>
    <r>
      <t>C</t>
    </r>
    <r>
      <rPr>
        <vertAlign val="subscript"/>
        <sz val="9"/>
        <rFont val="Arial"/>
        <family val="2"/>
      </rPr>
      <t>e</t>
    </r>
  </si>
  <si>
    <r>
      <t>C</t>
    </r>
    <r>
      <rPr>
        <vertAlign val="subscript"/>
        <sz val="9"/>
        <rFont val="Arial"/>
        <family val="2"/>
      </rPr>
      <t>c</t>
    </r>
  </si>
  <si>
    <t>tolérance d'exécution</t>
  </si>
  <si>
    <t>diamètre armature transversale</t>
  </si>
  <si>
    <r>
      <t>c</t>
    </r>
    <r>
      <rPr>
        <vertAlign val="subscript"/>
        <sz val="9"/>
        <rFont val="Arial"/>
        <family val="2"/>
      </rPr>
      <t>nom3</t>
    </r>
  </si>
  <si>
    <r>
      <t>d</t>
    </r>
    <r>
      <rPr>
        <vertAlign val="subscript"/>
        <sz val="9"/>
        <rFont val="Arial"/>
        <family val="2"/>
      </rPr>
      <t>3</t>
    </r>
  </si>
  <si>
    <r>
      <t>= h</t>
    </r>
    <r>
      <rPr>
        <vertAlign val="subscript"/>
        <sz val="9"/>
        <rFont val="Arial"/>
        <family val="2"/>
      </rPr>
      <t>3</t>
    </r>
    <r>
      <rPr>
        <sz val="9"/>
        <rFont val="Arial"/>
        <family val="0"/>
      </rPr>
      <t>-c</t>
    </r>
    <r>
      <rPr>
        <vertAlign val="subscript"/>
        <sz val="9"/>
        <rFont val="Arial"/>
        <family val="2"/>
      </rPr>
      <t>nom2</t>
    </r>
    <r>
      <rPr>
        <sz val="9"/>
        <rFont val="Arial"/>
        <family val="2"/>
      </rPr>
      <t>-Ø</t>
    </r>
    <r>
      <rPr>
        <sz val="9"/>
        <rFont val="Arial"/>
        <family val="0"/>
      </rPr>
      <t>/2</t>
    </r>
  </si>
  <si>
    <r>
      <t>= Atan(h</t>
    </r>
    <r>
      <rPr>
        <vertAlign val="subscript"/>
        <sz val="9"/>
        <rFont val="Arial"/>
        <family val="2"/>
      </rPr>
      <t>0</t>
    </r>
    <r>
      <rPr>
        <sz val="9"/>
        <rFont val="Arial"/>
        <family val="0"/>
      </rPr>
      <t>/L</t>
    </r>
    <r>
      <rPr>
        <vertAlign val="subscript"/>
        <sz val="9"/>
        <rFont val="Arial"/>
        <family val="2"/>
      </rPr>
      <t>0</t>
    </r>
    <r>
      <rPr>
        <sz val="9"/>
        <rFont val="Arial"/>
        <family val="0"/>
      </rPr>
      <t>)</t>
    </r>
  </si>
  <si>
    <r>
      <t>= a+b+c+Min(e</t>
    </r>
    <r>
      <rPr>
        <vertAlign val="subscript"/>
        <sz val="9"/>
        <rFont val="Arial"/>
        <family val="2"/>
      </rPr>
      <t>1</t>
    </r>
    <r>
      <rPr>
        <sz val="9"/>
        <rFont val="Arial"/>
        <family val="0"/>
      </rPr>
      <t>;h</t>
    </r>
    <r>
      <rPr>
        <vertAlign val="subscript"/>
        <sz val="9"/>
        <rFont val="Arial"/>
        <family val="2"/>
      </rPr>
      <t>1</t>
    </r>
    <r>
      <rPr>
        <sz val="9"/>
        <rFont val="Arial"/>
        <family val="0"/>
      </rPr>
      <t>)/2+Min(e</t>
    </r>
    <r>
      <rPr>
        <vertAlign val="subscript"/>
        <sz val="9"/>
        <rFont val="Arial"/>
        <family val="2"/>
      </rPr>
      <t>2</t>
    </r>
    <r>
      <rPr>
        <sz val="9"/>
        <rFont val="Arial"/>
        <family val="0"/>
      </rPr>
      <t>;h</t>
    </r>
    <r>
      <rPr>
        <vertAlign val="subscript"/>
        <sz val="9"/>
        <rFont val="Arial"/>
        <family val="2"/>
      </rPr>
      <t>3</t>
    </r>
    <r>
      <rPr>
        <sz val="9"/>
        <rFont val="Arial"/>
        <family val="0"/>
      </rPr>
      <t>)/2</t>
    </r>
  </si>
  <si>
    <r>
      <t xml:space="preserve">= </t>
    </r>
    <r>
      <rPr>
        <sz val="9"/>
        <rFont val="Symbol"/>
        <family val="1"/>
      </rPr>
      <t>r</t>
    </r>
    <r>
      <rPr>
        <sz val="9"/>
        <rFont val="Arial"/>
        <family val="0"/>
      </rPr>
      <t>.(h</t>
    </r>
    <r>
      <rPr>
        <vertAlign val="subscript"/>
        <sz val="9"/>
        <rFont val="Arial"/>
        <family val="2"/>
      </rPr>
      <t>2</t>
    </r>
    <r>
      <rPr>
        <sz val="9"/>
        <rFont val="Arial"/>
        <family val="2"/>
      </rPr>
      <t>/cos</t>
    </r>
    <r>
      <rPr>
        <sz val="9"/>
        <rFont val="Symbol"/>
        <family val="1"/>
      </rPr>
      <t>a</t>
    </r>
    <r>
      <rPr>
        <sz val="9"/>
        <rFont val="Arial"/>
        <family val="2"/>
      </rPr>
      <t>+h</t>
    </r>
    <r>
      <rPr>
        <vertAlign val="subscript"/>
        <sz val="9"/>
        <rFont val="Arial"/>
        <family val="2"/>
      </rPr>
      <t>0</t>
    </r>
    <r>
      <rPr>
        <sz val="9"/>
        <rFont val="Arial"/>
        <family val="2"/>
      </rPr>
      <t>/2)</t>
    </r>
  </si>
  <si>
    <r>
      <t>g</t>
    </r>
    <r>
      <rPr>
        <vertAlign val="subscript"/>
        <sz val="9"/>
        <rFont val="Arial"/>
        <family val="2"/>
      </rPr>
      <t>3</t>
    </r>
  </si>
  <si>
    <t>charge permanente palier droit</t>
  </si>
  <si>
    <t>charge permanente palier gauche</t>
  </si>
  <si>
    <r>
      <t xml:space="preserve">= </t>
    </r>
    <r>
      <rPr>
        <sz val="9"/>
        <rFont val="Symbol"/>
        <family val="1"/>
      </rPr>
      <t>r</t>
    </r>
    <r>
      <rPr>
        <sz val="9"/>
        <rFont val="Arial"/>
        <family val="0"/>
      </rPr>
      <t>.h</t>
    </r>
    <r>
      <rPr>
        <vertAlign val="subscript"/>
        <sz val="9"/>
        <rFont val="Arial"/>
        <family val="2"/>
      </rPr>
      <t>1</t>
    </r>
  </si>
  <si>
    <r>
      <t xml:space="preserve">= </t>
    </r>
    <r>
      <rPr>
        <sz val="9"/>
        <rFont val="Symbol"/>
        <family val="1"/>
      </rPr>
      <t>r</t>
    </r>
    <r>
      <rPr>
        <sz val="9"/>
        <rFont val="Arial"/>
        <family val="0"/>
      </rPr>
      <t>.h</t>
    </r>
    <r>
      <rPr>
        <vertAlign val="subscript"/>
        <sz val="9"/>
        <rFont val="Arial"/>
        <family val="2"/>
      </rPr>
      <t>3</t>
    </r>
  </si>
  <si>
    <t>hauteur utile palier droit</t>
  </si>
  <si>
    <t>hauteur utile palier gauche</t>
  </si>
  <si>
    <t>x</t>
  </si>
  <si>
    <r>
      <t>p</t>
    </r>
    <r>
      <rPr>
        <vertAlign val="subscript"/>
        <sz val="9"/>
        <rFont val="Arial"/>
        <family val="2"/>
      </rPr>
      <t>1</t>
    </r>
  </si>
  <si>
    <r>
      <t>p</t>
    </r>
    <r>
      <rPr>
        <vertAlign val="subscript"/>
        <sz val="9"/>
        <rFont val="Arial"/>
        <family val="2"/>
      </rPr>
      <t>2</t>
    </r>
  </si>
  <si>
    <t>p</t>
  </si>
  <si>
    <r>
      <t>a</t>
    </r>
    <r>
      <rPr>
        <vertAlign val="subscript"/>
        <sz val="9"/>
        <rFont val="Arial"/>
        <family val="2"/>
      </rPr>
      <t>0</t>
    </r>
  </si>
  <si>
    <r>
      <t>b</t>
    </r>
    <r>
      <rPr>
        <vertAlign val="subscript"/>
        <sz val="9"/>
        <rFont val="Arial"/>
        <family val="2"/>
      </rPr>
      <t>0</t>
    </r>
  </si>
  <si>
    <t>Charges ELU</t>
  </si>
  <si>
    <t>abscisse début charge</t>
  </si>
  <si>
    <t>longueur charge</t>
  </si>
  <si>
    <r>
      <t>V</t>
    </r>
    <r>
      <rPr>
        <vertAlign val="subscript"/>
        <sz val="9"/>
        <rFont val="Arial"/>
        <family val="2"/>
      </rPr>
      <t>Ed</t>
    </r>
  </si>
  <si>
    <t>kN</t>
  </si>
  <si>
    <t>Mmax</t>
  </si>
  <si>
    <t>xmax</t>
  </si>
  <si>
    <t>d</t>
  </si>
  <si>
    <t>hauteur utile</t>
  </si>
  <si>
    <t>abscisse</t>
  </si>
  <si>
    <t>effort tranchant</t>
  </si>
  <si>
    <t>moment</t>
  </si>
  <si>
    <r>
      <t>= M</t>
    </r>
    <r>
      <rPr>
        <vertAlign val="subscript"/>
        <sz val="9"/>
        <rFont val="Arial"/>
        <family val="2"/>
      </rPr>
      <t>Ed</t>
    </r>
    <r>
      <rPr>
        <sz val="9"/>
        <rFont val="Arial"/>
        <family val="0"/>
      </rPr>
      <t>/(d</t>
    </r>
    <r>
      <rPr>
        <vertAlign val="superscript"/>
        <sz val="9"/>
        <rFont val="Arial"/>
        <family val="2"/>
      </rPr>
      <t>2</t>
    </r>
    <r>
      <rPr>
        <sz val="9"/>
        <rFont val="Arial"/>
        <family val="0"/>
      </rPr>
      <t>.f</t>
    </r>
    <r>
      <rPr>
        <vertAlign val="subscript"/>
        <sz val="9"/>
        <rFont val="Arial"/>
        <family val="2"/>
      </rPr>
      <t>cd</t>
    </r>
    <r>
      <rPr>
        <sz val="9"/>
        <rFont val="Arial"/>
        <family val="0"/>
      </rPr>
      <t>)</t>
    </r>
  </si>
  <si>
    <r>
      <t>= 0,5d</t>
    </r>
    <r>
      <rPr>
        <sz val="9"/>
        <rFont val="Arial"/>
        <family val="0"/>
      </rPr>
      <t>.(1+(1-2</t>
    </r>
    <r>
      <rPr>
        <sz val="9"/>
        <rFont val="Symbol"/>
        <family val="1"/>
      </rPr>
      <t>m</t>
    </r>
    <r>
      <rPr>
        <sz val="9"/>
        <rFont val="Arial"/>
        <family val="0"/>
      </rPr>
      <t>)</t>
    </r>
    <r>
      <rPr>
        <vertAlign val="superscript"/>
        <sz val="9"/>
        <rFont val="Arial"/>
        <family val="2"/>
      </rPr>
      <t>0,5</t>
    </r>
    <r>
      <rPr>
        <sz val="9"/>
        <rFont val="Arial"/>
        <family val="0"/>
      </rPr>
      <t>)</t>
    </r>
  </si>
  <si>
    <r>
      <t>= M</t>
    </r>
    <r>
      <rPr>
        <vertAlign val="subscript"/>
        <sz val="9"/>
        <rFont val="Arial"/>
        <family val="2"/>
      </rPr>
      <t>Ed</t>
    </r>
    <r>
      <rPr>
        <sz val="9"/>
        <rFont val="Arial"/>
        <family val="0"/>
      </rPr>
      <t>/(z</t>
    </r>
    <r>
      <rPr>
        <sz val="9"/>
        <rFont val="Arial"/>
        <family val="0"/>
      </rPr>
      <t>.f</t>
    </r>
    <r>
      <rPr>
        <vertAlign val="subscript"/>
        <sz val="9"/>
        <rFont val="Arial"/>
        <family val="2"/>
      </rPr>
      <t>yd</t>
    </r>
    <r>
      <rPr>
        <sz val="9"/>
        <rFont val="Arial"/>
        <family val="0"/>
      </rPr>
      <t>)</t>
    </r>
  </si>
  <si>
    <t>RdM</t>
  </si>
  <si>
    <r>
      <t>= h - c</t>
    </r>
    <r>
      <rPr>
        <vertAlign val="subscript"/>
        <sz val="9"/>
        <rFont val="Arial"/>
        <family val="2"/>
      </rPr>
      <t>nom</t>
    </r>
    <r>
      <rPr>
        <sz val="9"/>
        <rFont val="Arial"/>
        <family val="0"/>
      </rPr>
      <t xml:space="preserve"> - </t>
    </r>
    <r>
      <rPr>
        <sz val="9"/>
        <rFont val="Arial"/>
        <family val="2"/>
      </rPr>
      <t>Ø</t>
    </r>
    <r>
      <rPr>
        <sz val="9"/>
        <rFont val="Arial"/>
        <family val="0"/>
      </rPr>
      <t>/2</t>
    </r>
  </si>
  <si>
    <t>3h 400 et 3,5 h 450</t>
  </si>
  <si>
    <t>h</t>
  </si>
  <si>
    <t>ou si zone Mmax 2h 250 et 3h 400</t>
  </si>
  <si>
    <t>Armature longitudinales</t>
  </si>
  <si>
    <r>
      <t>= Min[2 ; 1+(200/d</t>
    </r>
    <r>
      <rPr>
        <sz val="9"/>
        <rFont val="Arial"/>
        <family val="0"/>
      </rPr>
      <t>)</t>
    </r>
    <r>
      <rPr>
        <vertAlign val="superscript"/>
        <sz val="9"/>
        <rFont val="Arial"/>
        <family val="2"/>
      </rPr>
      <t>0,5</t>
    </r>
    <r>
      <rPr>
        <sz val="9"/>
        <rFont val="Arial"/>
        <family val="0"/>
      </rPr>
      <t>)</t>
    </r>
  </si>
  <si>
    <t>gauche</t>
  </si>
  <si>
    <r>
      <t>s</t>
    </r>
    <r>
      <rPr>
        <vertAlign val="subscript"/>
        <sz val="9"/>
        <rFont val="Arial"/>
        <family val="2"/>
      </rPr>
      <t>t</t>
    </r>
  </si>
  <si>
    <t>droit</t>
  </si>
  <si>
    <t>Armatures</t>
  </si>
  <si>
    <t>chapeaux</t>
  </si>
  <si>
    <r>
      <t>s</t>
    </r>
    <r>
      <rPr>
        <vertAlign val="subscript"/>
        <sz val="9"/>
        <rFont val="Arial"/>
        <family val="2"/>
      </rPr>
      <t>max</t>
    </r>
  </si>
  <si>
    <t>espacement maximum autorisé</t>
  </si>
  <si>
    <t>espacement imposé</t>
  </si>
  <si>
    <t>appui</t>
  </si>
  <si>
    <r>
      <t>A</t>
    </r>
    <r>
      <rPr>
        <vertAlign val="subscript"/>
        <sz val="9"/>
        <rFont val="Arial"/>
        <family val="2"/>
      </rPr>
      <t>s,prov</t>
    </r>
  </si>
  <si>
    <r>
      <t>A</t>
    </r>
    <r>
      <rPr>
        <vertAlign val="subscript"/>
        <sz val="9"/>
        <rFont val="Arial"/>
        <family val="2"/>
      </rPr>
      <t>s,req</t>
    </r>
  </si>
  <si>
    <t>section mise en place</t>
  </si>
  <si>
    <t>section nécessaire</t>
  </si>
  <si>
    <t>= 1,35g + 1,5q</t>
  </si>
  <si>
    <t>diamètre mis</t>
  </si>
  <si>
    <t>moment réduit</t>
  </si>
  <si>
    <r>
      <t>= A</t>
    </r>
    <r>
      <rPr>
        <vertAlign val="subscript"/>
        <sz val="9"/>
        <rFont val="Arial"/>
        <family val="2"/>
      </rPr>
      <t>s</t>
    </r>
    <r>
      <rPr>
        <sz val="9"/>
        <rFont val="Arial"/>
        <family val="0"/>
      </rPr>
      <t>/d</t>
    </r>
  </si>
  <si>
    <t>= section mise en place</t>
  </si>
  <si>
    <r>
      <t>V</t>
    </r>
    <r>
      <rPr>
        <vertAlign val="subscript"/>
        <sz val="9"/>
        <rFont val="Arial"/>
        <family val="2"/>
      </rPr>
      <t>Rd,c</t>
    </r>
  </si>
  <si>
    <t>=1 si dalle avec redistribution transversale, =0 sinon</t>
  </si>
  <si>
    <t>red.</t>
  </si>
  <si>
    <r>
      <t>= Max[v</t>
    </r>
    <r>
      <rPr>
        <vertAlign val="subscript"/>
        <sz val="9"/>
        <rFont val="Arial"/>
        <family val="2"/>
      </rPr>
      <t>Rd,c</t>
    </r>
    <r>
      <rPr>
        <sz val="9"/>
        <rFont val="Arial"/>
        <family val="0"/>
      </rPr>
      <t xml:space="preserve"> ; v</t>
    </r>
    <r>
      <rPr>
        <vertAlign val="subscript"/>
        <sz val="9"/>
        <rFont val="Arial"/>
        <family val="2"/>
      </rPr>
      <t>min</t>
    </r>
    <r>
      <rPr>
        <sz val="9"/>
        <rFont val="Arial"/>
        <family val="0"/>
      </rPr>
      <t>].d</t>
    </r>
  </si>
  <si>
    <t>donnée</t>
  </si>
  <si>
    <t>armature nécessaire</t>
  </si>
  <si>
    <r>
      <t>A</t>
    </r>
    <r>
      <rPr>
        <vertAlign val="subscript"/>
        <sz val="9"/>
        <rFont val="Arial"/>
        <family val="2"/>
      </rPr>
      <t>s,rqd</t>
    </r>
  </si>
  <si>
    <t>espacement armature transversale</t>
  </si>
  <si>
    <r>
      <t>- pour les classes d'environnement X0 et XC1, le calcul de w</t>
    </r>
    <r>
      <rPr>
        <vertAlign val="subscript"/>
        <sz val="9"/>
        <rFont val="Arial Narrow"/>
        <family val="2"/>
      </rPr>
      <t>k</t>
    </r>
    <r>
      <rPr>
        <sz val="9"/>
        <rFont val="Arial Narrow"/>
        <family val="2"/>
      </rPr>
      <t xml:space="preserve"> n'est pas requis, sauf exigence spécifique des DPM</t>
    </r>
  </si>
  <si>
    <r>
      <t>- pour les catégories d'usage A à D, le calcul de w</t>
    </r>
    <r>
      <rPr>
        <vertAlign val="subscript"/>
        <sz val="9"/>
        <rFont val="Arial Narrow"/>
        <family val="2"/>
      </rPr>
      <t>k</t>
    </r>
    <r>
      <rPr>
        <sz val="9"/>
        <rFont val="Arial Narrow"/>
        <family val="2"/>
      </rPr>
      <t xml:space="preserve"> n'est pas requis, sauf exigence spécifique des DPM</t>
    </r>
  </si>
  <si>
    <t>dessin ferraillage</t>
  </si>
  <si>
    <t>N°</t>
  </si>
  <si>
    <r>
      <t>Ø</t>
    </r>
    <r>
      <rPr>
        <vertAlign val="subscript"/>
        <sz val="9"/>
        <rFont val="Arial"/>
        <family val="2"/>
      </rPr>
      <t>m</t>
    </r>
  </si>
  <si>
    <r>
      <t>f</t>
    </r>
    <r>
      <rPr>
        <vertAlign val="subscript"/>
        <sz val="9"/>
        <rFont val="Arial"/>
        <family val="2"/>
      </rPr>
      <t>bd</t>
    </r>
  </si>
  <si>
    <r>
      <t>f</t>
    </r>
    <r>
      <rPr>
        <vertAlign val="subscript"/>
        <sz val="9"/>
        <rFont val="Arial"/>
        <family val="2"/>
      </rPr>
      <t>ctd</t>
    </r>
  </si>
  <si>
    <r>
      <t>l</t>
    </r>
    <r>
      <rPr>
        <sz val="9"/>
        <rFont val="Arial"/>
        <family val="0"/>
      </rPr>
      <t>/Ø</t>
    </r>
  </si>
  <si>
    <r>
      <t>Ø</t>
    </r>
    <r>
      <rPr>
        <vertAlign val="subscript"/>
        <sz val="9"/>
        <rFont val="Arial"/>
        <family val="2"/>
      </rPr>
      <t>m</t>
    </r>
    <r>
      <rPr>
        <sz val="9"/>
        <rFont val="Arial"/>
        <family val="0"/>
      </rPr>
      <t>/Ø</t>
    </r>
  </si>
  <si>
    <t>Tab. 3.1</t>
  </si>
  <si>
    <r>
      <t>= 0,7f</t>
    </r>
    <r>
      <rPr>
        <vertAlign val="subscript"/>
        <sz val="9"/>
        <rFont val="Arial"/>
        <family val="2"/>
      </rPr>
      <t>ctm</t>
    </r>
    <r>
      <rPr>
        <sz val="9"/>
        <rFont val="Arial"/>
        <family val="0"/>
      </rPr>
      <t>.</t>
    </r>
    <r>
      <rPr>
        <sz val="9"/>
        <rFont val="Symbol"/>
        <family val="1"/>
      </rPr>
      <t>g</t>
    </r>
    <r>
      <rPr>
        <vertAlign val="subscript"/>
        <sz val="9"/>
        <rFont val="Arial"/>
        <family val="2"/>
      </rPr>
      <t>C</t>
    </r>
  </si>
  <si>
    <r>
      <t>= 2,25f</t>
    </r>
    <r>
      <rPr>
        <vertAlign val="subscript"/>
        <sz val="9"/>
        <rFont val="Arial"/>
        <family val="2"/>
      </rPr>
      <t>bd</t>
    </r>
  </si>
  <si>
    <t>l</t>
  </si>
  <si>
    <t>partie droite après courbe</t>
  </si>
  <si>
    <t>Crochets inférieurs</t>
  </si>
  <si>
    <t>Renard</t>
  </si>
  <si>
    <r>
      <t>L</t>
    </r>
    <r>
      <rPr>
        <vertAlign val="subscript"/>
        <sz val="9"/>
        <rFont val="Arial"/>
        <family val="2"/>
      </rPr>
      <t>bd</t>
    </r>
  </si>
  <si>
    <r>
      <t>h</t>
    </r>
    <r>
      <rPr>
        <vertAlign val="subscript"/>
        <sz val="9"/>
        <rFont val="Arial"/>
        <family val="2"/>
      </rPr>
      <t>b</t>
    </r>
  </si>
  <si>
    <r>
      <t>Ø</t>
    </r>
    <r>
      <rPr>
        <vertAlign val="subscript"/>
        <sz val="9"/>
        <rFont val="Arial"/>
        <family val="2"/>
      </rPr>
      <t>m,R</t>
    </r>
  </si>
  <si>
    <t>diamètre barre</t>
  </si>
  <si>
    <t>hauteur hors tout minimale du crochet</t>
  </si>
  <si>
    <t>diamètre mandrin selon Renard</t>
  </si>
  <si>
    <t>longueur d'ancrage § 8.4.3</t>
  </si>
  <si>
    <t>diamètre mandrin § 8.3</t>
  </si>
  <si>
    <t>Barres</t>
  </si>
  <si>
    <r>
      <t>&gt; A</t>
    </r>
    <r>
      <rPr>
        <vertAlign val="subscript"/>
        <sz val="9"/>
        <rFont val="Arial"/>
        <family val="2"/>
      </rPr>
      <t>s</t>
    </r>
    <r>
      <rPr>
        <sz val="9"/>
        <rFont val="Arial"/>
        <family val="0"/>
      </rPr>
      <t>/5</t>
    </r>
  </si>
  <si>
    <t>120 - ESCALIER</t>
  </si>
  <si>
    <t xml:space="preserve">Ce document est protégé par le droit d’auteur © Henry Thonier - EGF 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</si>
</sst>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  <numFmt numFmtId="165" formatCode="0.0"/>
    <numFmt numFmtId="166" formatCode="0.0000"/>
    <numFmt numFmtId="167" formatCode="&quot;Vrai&quot;;&quot;Vrai&quot;;&quot;Faux&quot;"/>
    <numFmt numFmtId="168" formatCode="&quot;Actif&quot;;&quot;Actif&quot;;&quot;Inactif&quot;"/>
    <numFmt numFmtId="169" formatCode="0.00000"/>
    <numFmt numFmtId="170" formatCode="0.000000"/>
  </numFmts>
  <fonts count="16">
    <font>
      <sz val="9"/>
      <name val="Arial"/>
      <family val="0"/>
    </font>
    <font>
      <sz val="8"/>
      <name val="Arial"/>
      <family val="0"/>
    </font>
    <font>
      <b/>
      <sz val="9"/>
      <name val="Arial"/>
      <family val="2"/>
    </font>
    <font>
      <sz val="9"/>
      <name val="Symbol"/>
      <family val="1"/>
    </font>
    <font>
      <vertAlign val="subscript"/>
      <sz val="9"/>
      <name val="Arial"/>
      <family val="2"/>
    </font>
    <font>
      <vertAlign val="superscript"/>
      <sz val="9"/>
      <name val="Arial"/>
      <family val="2"/>
    </font>
    <font>
      <sz val="9"/>
      <name val="Helvetica"/>
      <family val="0"/>
    </font>
    <font>
      <sz val="9"/>
      <name val="Arial Narrow"/>
      <family val="2"/>
    </font>
    <font>
      <b/>
      <u val="single"/>
      <sz val="9"/>
      <name val="Helvetica"/>
      <family val="0"/>
    </font>
    <font>
      <u val="single"/>
      <sz val="9"/>
      <color indexed="12"/>
      <name val="Arial"/>
      <family val="0"/>
    </font>
    <font>
      <u val="single"/>
      <sz val="9"/>
      <color indexed="36"/>
      <name val="Arial"/>
      <family val="0"/>
    </font>
    <font>
      <sz val="9"/>
      <color indexed="10"/>
      <name val="Arial"/>
      <family val="0"/>
    </font>
    <font>
      <b/>
      <sz val="9"/>
      <color indexed="12"/>
      <name val="Arial"/>
      <family val="2"/>
    </font>
    <font>
      <vertAlign val="subscript"/>
      <sz val="9"/>
      <name val="Arial Narrow"/>
      <family val="2"/>
    </font>
    <font>
      <b/>
      <sz val="9"/>
      <name val="Arial Narrow"/>
      <family val="2"/>
    </font>
    <font>
      <sz val="8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 style="thick"/>
      <top style="hair"/>
      <bottom style="hair"/>
    </border>
    <border>
      <left style="thick"/>
      <right style="thick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thick"/>
      <top style="hair"/>
      <bottom style="thick"/>
    </border>
    <border>
      <left style="thick"/>
      <right style="thin"/>
      <top style="thick"/>
      <bottom style="hair"/>
    </border>
    <border>
      <left style="thin"/>
      <right style="thin"/>
      <top style="thick"/>
      <bottom style="hair"/>
    </border>
    <border>
      <left style="thin"/>
      <right style="thick"/>
      <top style="thick"/>
      <bottom style="hair"/>
    </border>
    <border>
      <left style="thick"/>
      <right style="thin"/>
      <top style="hair"/>
      <bottom style="thick"/>
    </border>
    <border>
      <left style="thin"/>
      <right style="thin"/>
      <top style="hair"/>
      <bottom style="thick"/>
    </border>
    <border>
      <left style="thin"/>
      <right style="thick"/>
      <top style="hair"/>
      <bottom style="thick"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thin"/>
      <right>
        <color indexed="63"/>
      </right>
      <top style="thick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2">
    <xf numFmtId="0" fontId="0" fillId="0" borderId="0" xfId="0" applyAlignment="1">
      <alignment/>
    </xf>
    <xf numFmtId="0" fontId="6" fillId="0" borderId="1" xfId="0" applyFont="1" applyBorder="1" applyAlignment="1" applyProtection="1">
      <alignment horizontal="center" vertical="top"/>
      <protection/>
    </xf>
    <xf numFmtId="0" fontId="6" fillId="0" borderId="2" xfId="0" applyFont="1" applyBorder="1" applyAlignment="1" applyProtection="1">
      <alignment horizontal="left" vertical="top"/>
      <protection/>
    </xf>
    <xf numFmtId="0" fontId="6" fillId="0" borderId="3" xfId="0" applyFont="1" applyBorder="1" applyAlignment="1" applyProtection="1">
      <alignment horizontal="center" vertical="top"/>
      <protection/>
    </xf>
    <xf numFmtId="0" fontId="6" fillId="0" borderId="4" xfId="0" applyFont="1" applyBorder="1" applyAlignment="1" applyProtection="1">
      <alignment horizontal="center" vertical="top"/>
      <protection/>
    </xf>
    <xf numFmtId="0" fontId="7" fillId="0" borderId="1" xfId="0" applyFont="1" applyBorder="1" applyAlignment="1" applyProtection="1">
      <alignment horizontal="center" vertical="top"/>
      <protection/>
    </xf>
    <xf numFmtId="0" fontId="6" fillId="2" borderId="4" xfId="0" applyFont="1" applyFill="1" applyBorder="1" applyAlignment="1" applyProtection="1">
      <alignment horizontal="center" vertical="top"/>
      <protection/>
    </xf>
    <xf numFmtId="0" fontId="6" fillId="2" borderId="1" xfId="0" applyFont="1" applyFill="1" applyBorder="1" applyAlignment="1" applyProtection="1">
      <alignment horizontal="center" vertical="top"/>
      <protection/>
    </xf>
    <xf numFmtId="0" fontId="0" fillId="0" borderId="5" xfId="0" applyFill="1" applyBorder="1" applyAlignment="1" applyProtection="1">
      <alignment horizontal="center"/>
      <protection/>
    </xf>
    <xf numFmtId="0" fontId="0" fillId="0" borderId="6" xfId="0" applyFill="1" applyBorder="1" applyAlignment="1" applyProtection="1">
      <alignment horizontal="center"/>
      <protection/>
    </xf>
    <xf numFmtId="0" fontId="0" fillId="0" borderId="7" xfId="0" applyFill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8" fillId="2" borderId="1" xfId="0" applyFont="1" applyFill="1" applyBorder="1" applyAlignment="1" applyProtection="1">
      <alignment horizontal="center" vertical="top"/>
      <protection/>
    </xf>
    <xf numFmtId="0" fontId="2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8" xfId="0" applyFont="1" applyBorder="1" applyAlignment="1" applyProtection="1">
      <alignment horizontal="center"/>
      <protection/>
    </xf>
    <xf numFmtId="0" fontId="0" fillId="0" borderId="9" xfId="0" applyFont="1" applyBorder="1" applyAlignment="1" applyProtection="1">
      <alignment horizontal="center"/>
      <protection/>
    </xf>
    <xf numFmtId="0" fontId="3" fillId="0" borderId="9" xfId="0" applyFont="1" applyBorder="1" applyAlignment="1" applyProtection="1">
      <alignment horizontal="center"/>
      <protection/>
    </xf>
    <xf numFmtId="0" fontId="0" fillId="0" borderId="10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center"/>
      <protection/>
    </xf>
    <xf numFmtId="0" fontId="0" fillId="0" borderId="10" xfId="0" applyFont="1" applyBorder="1" applyAlignment="1" applyProtection="1" quotePrefix="1">
      <alignment horizontal="center"/>
      <protection/>
    </xf>
    <xf numFmtId="0" fontId="0" fillId="0" borderId="11" xfId="0" applyFont="1" applyBorder="1" applyAlignment="1" applyProtection="1">
      <alignment horizontal="center"/>
      <protection/>
    </xf>
    <xf numFmtId="0" fontId="0" fillId="0" borderId="12" xfId="0" applyFont="1" applyBorder="1" applyAlignment="1" applyProtection="1">
      <alignment horizontal="center"/>
      <protection/>
    </xf>
    <xf numFmtId="0" fontId="0" fillId="3" borderId="13" xfId="0" applyFont="1" applyFill="1" applyBorder="1" applyAlignment="1" applyProtection="1">
      <alignment horizontal="center"/>
      <protection locked="0"/>
    </xf>
    <xf numFmtId="0" fontId="0" fillId="3" borderId="13" xfId="0" applyFont="1" applyFill="1" applyBorder="1" applyAlignment="1" applyProtection="1">
      <alignment horizontal="center"/>
      <protection locked="0"/>
    </xf>
    <xf numFmtId="0" fontId="1" fillId="3" borderId="13" xfId="0" applyFont="1" applyFill="1" applyBorder="1" applyAlignment="1" applyProtection="1">
      <alignment horizontal="center"/>
      <protection locked="0"/>
    </xf>
    <xf numFmtId="0" fontId="0" fillId="3" borderId="14" xfId="0" applyFont="1" applyFill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left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 horizontal="left"/>
      <protection/>
    </xf>
    <xf numFmtId="0" fontId="1" fillId="0" borderId="0" xfId="0" applyFont="1" applyAlignment="1" applyProtection="1">
      <alignment horizontal="center"/>
      <protection/>
    </xf>
    <xf numFmtId="0" fontId="0" fillId="0" borderId="15" xfId="0" applyBorder="1" applyAlignment="1" applyProtection="1">
      <alignment horizontal="center"/>
      <protection/>
    </xf>
    <xf numFmtId="0" fontId="0" fillId="0" borderId="0" xfId="0" applyAlignment="1" applyProtection="1">
      <alignment horizontal="right"/>
      <protection/>
    </xf>
    <xf numFmtId="0" fontId="1" fillId="0" borderId="0" xfId="0" applyFont="1" applyAlignment="1" applyProtection="1" quotePrefix="1">
      <alignment horizontal="center"/>
      <protection/>
    </xf>
    <xf numFmtId="0" fontId="1" fillId="0" borderId="0" xfId="0" applyFont="1" applyFill="1" applyBorder="1" applyAlignment="1" applyProtection="1">
      <alignment horizontal="center"/>
      <protection/>
    </xf>
    <xf numFmtId="0" fontId="3" fillId="0" borderId="0" xfId="0" applyFont="1" applyAlignment="1" applyProtection="1">
      <alignment horizontal="right"/>
      <protection/>
    </xf>
    <xf numFmtId="0" fontId="11" fillId="0" borderId="0" xfId="0" applyFont="1" applyAlignment="1" applyProtection="1">
      <alignment/>
      <protection/>
    </xf>
    <xf numFmtId="0" fontId="0" fillId="0" borderId="8" xfId="0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/>
      <protection/>
    </xf>
    <xf numFmtId="0" fontId="0" fillId="0" borderId="10" xfId="0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/>
    </xf>
    <xf numFmtId="0" fontId="0" fillId="0" borderId="0" xfId="0" applyBorder="1" applyAlignment="1" applyProtection="1">
      <alignment horizontal="right"/>
      <protection/>
    </xf>
    <xf numFmtId="2" fontId="0" fillId="0" borderId="0" xfId="0" applyNumberFormat="1" applyAlignment="1" applyProtection="1">
      <alignment horizontal="center"/>
      <protection/>
    </xf>
    <xf numFmtId="0" fontId="3" fillId="0" borderId="0" xfId="0" applyFont="1" applyBorder="1" applyAlignment="1" applyProtection="1">
      <alignment horizontal="right"/>
      <protection/>
    </xf>
    <xf numFmtId="0" fontId="0" fillId="0" borderId="0" xfId="0" applyFont="1" applyBorder="1" applyAlignment="1" applyProtection="1">
      <alignment horizontal="right"/>
      <protection/>
    </xf>
    <xf numFmtId="0" fontId="0" fillId="0" borderId="0" xfId="0" applyAlignment="1" applyProtection="1" quotePrefix="1">
      <alignment horizontal="left"/>
      <protection/>
    </xf>
    <xf numFmtId="0" fontId="11" fillId="0" borderId="0" xfId="0" applyFont="1" applyAlignment="1" applyProtection="1">
      <alignment horizontal="center"/>
      <protection/>
    </xf>
    <xf numFmtId="0" fontId="0" fillId="0" borderId="0" xfId="0" applyFill="1" applyBorder="1" applyAlignment="1" applyProtection="1">
      <alignment horizontal="center"/>
      <protection/>
    </xf>
    <xf numFmtId="0" fontId="0" fillId="0" borderId="18" xfId="0" applyFont="1" applyBorder="1" applyAlignment="1" applyProtection="1">
      <alignment horizontal="center"/>
      <protection/>
    </xf>
    <xf numFmtId="2" fontId="0" fillId="0" borderId="19" xfId="0" applyNumberFormat="1" applyBorder="1" applyAlignment="1" applyProtection="1">
      <alignment horizontal="center"/>
      <protection/>
    </xf>
    <xf numFmtId="0" fontId="0" fillId="0" borderId="10" xfId="0" applyBorder="1" applyAlignment="1" applyProtection="1">
      <alignment horizontal="left"/>
      <protection/>
    </xf>
    <xf numFmtId="2" fontId="0" fillId="0" borderId="1" xfId="0" applyNumberFormat="1" applyBorder="1" applyAlignment="1" applyProtection="1">
      <alignment horizontal="center"/>
      <protection/>
    </xf>
    <xf numFmtId="2" fontId="0" fillId="0" borderId="20" xfId="0" applyNumberFormat="1" applyBorder="1" applyAlignment="1" applyProtection="1">
      <alignment horizontal="center"/>
      <protection/>
    </xf>
    <xf numFmtId="0" fontId="0" fillId="0" borderId="1" xfId="0" applyBorder="1" applyAlignment="1" applyProtection="1">
      <alignment horizontal="center"/>
      <protection/>
    </xf>
    <xf numFmtId="0" fontId="12" fillId="0" borderId="0" xfId="0" applyFont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0" fillId="0" borderId="21" xfId="0" applyBorder="1" applyAlignment="1" applyProtection="1">
      <alignment horizontal="center"/>
      <protection/>
    </xf>
    <xf numFmtId="164" fontId="0" fillId="0" borderId="1" xfId="0" applyNumberForma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0" fontId="0" fillId="0" borderId="1" xfId="0" applyFont="1" applyBorder="1" applyAlignment="1" applyProtection="1">
      <alignment horizontal="center"/>
      <protection/>
    </xf>
    <xf numFmtId="0" fontId="0" fillId="0" borderId="1" xfId="0" applyFont="1" applyFill="1" applyBorder="1" applyAlignment="1" applyProtection="1">
      <alignment horizontal="center"/>
      <protection/>
    </xf>
    <xf numFmtId="2" fontId="0" fillId="0" borderId="1" xfId="0" applyNumberFormat="1" applyFont="1" applyFill="1" applyBorder="1" applyAlignment="1" applyProtection="1">
      <alignment horizontal="center"/>
      <protection/>
    </xf>
    <xf numFmtId="2" fontId="0" fillId="0" borderId="1" xfId="0" applyNumberFormat="1" applyFont="1" applyBorder="1" applyAlignment="1" applyProtection="1">
      <alignment horizontal="center"/>
      <protection/>
    </xf>
    <xf numFmtId="165" fontId="0" fillId="0" borderId="1" xfId="0" applyNumberFormat="1" applyFont="1" applyBorder="1" applyAlignment="1" applyProtection="1">
      <alignment horizontal="center"/>
      <protection/>
    </xf>
    <xf numFmtId="166" fontId="0" fillId="0" borderId="1" xfId="0" applyNumberFormat="1" applyBorder="1" applyAlignment="1" applyProtection="1">
      <alignment horizontal="center"/>
      <protection/>
    </xf>
    <xf numFmtId="1" fontId="0" fillId="0" borderId="1" xfId="0" applyNumberFormat="1" applyBorder="1" applyAlignment="1" applyProtection="1">
      <alignment horizontal="center"/>
      <protection/>
    </xf>
    <xf numFmtId="0" fontId="7" fillId="0" borderId="0" xfId="0" applyFont="1" applyAlignment="1" applyProtection="1">
      <alignment/>
      <protection/>
    </xf>
    <xf numFmtId="2" fontId="0" fillId="0" borderId="7" xfId="0" applyNumberFormat="1" applyBorder="1" applyAlignment="1" applyProtection="1">
      <alignment horizontal="center"/>
      <protection/>
    </xf>
    <xf numFmtId="1" fontId="0" fillId="0" borderId="0" xfId="0" applyNumberFormat="1" applyAlignment="1" applyProtection="1">
      <alignment horizontal="center"/>
      <protection/>
    </xf>
    <xf numFmtId="0" fontId="0" fillId="0" borderId="0" xfId="0" applyBorder="1" applyAlignment="1" applyProtection="1">
      <alignment horizontal="left"/>
      <protection/>
    </xf>
    <xf numFmtId="0" fontId="0" fillId="0" borderId="2" xfId="0" applyBorder="1" applyAlignment="1" applyProtection="1">
      <alignment horizontal="center"/>
      <protection/>
    </xf>
    <xf numFmtId="0" fontId="0" fillId="0" borderId="0" xfId="0" applyAlignment="1" applyProtection="1" quotePrefix="1">
      <alignment/>
      <protection/>
    </xf>
    <xf numFmtId="0" fontId="0" fillId="0" borderId="1" xfId="0" applyNumberFormat="1" applyBorder="1" applyAlignment="1" applyProtection="1">
      <alignment horizontal="center"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 horizontal="right"/>
      <protection/>
    </xf>
    <xf numFmtId="0" fontId="0" fillId="0" borderId="1" xfId="0" applyFont="1" applyBorder="1" applyAlignment="1" applyProtection="1">
      <alignment horizontal="center"/>
      <protection/>
    </xf>
    <xf numFmtId="0" fontId="0" fillId="0" borderId="0" xfId="0" applyFont="1" applyAlignment="1" applyProtection="1" quotePrefix="1">
      <alignment horizontal="left"/>
      <protection/>
    </xf>
    <xf numFmtId="0" fontId="0" fillId="0" borderId="0" xfId="0" applyFont="1" applyAlignment="1" applyProtection="1">
      <alignment horizontal="left"/>
      <protection/>
    </xf>
    <xf numFmtId="2" fontId="0" fillId="0" borderId="1" xfId="0" applyNumberFormat="1" applyFont="1" applyBorder="1" applyAlignment="1" applyProtection="1">
      <alignment horizontal="center"/>
      <protection/>
    </xf>
    <xf numFmtId="0" fontId="0" fillId="3" borderId="13" xfId="0" applyFill="1" applyBorder="1" applyAlignment="1" applyProtection="1">
      <alignment horizontal="center"/>
      <protection locked="0"/>
    </xf>
    <xf numFmtId="0" fontId="0" fillId="3" borderId="22" xfId="0" applyFill="1" applyBorder="1" applyAlignment="1" applyProtection="1">
      <alignment horizontal="center"/>
      <protection locked="0"/>
    </xf>
    <xf numFmtId="0" fontId="0" fillId="3" borderId="23" xfId="0" applyFill="1" applyBorder="1" applyAlignment="1" applyProtection="1">
      <alignment horizontal="center"/>
      <protection locked="0"/>
    </xf>
    <xf numFmtId="0" fontId="0" fillId="3" borderId="24" xfId="0" applyFill="1" applyBorder="1" applyAlignment="1" applyProtection="1">
      <alignment horizontal="center"/>
      <protection locked="0"/>
    </xf>
    <xf numFmtId="0" fontId="0" fillId="3" borderId="25" xfId="0" applyFill="1" applyBorder="1" applyAlignment="1" applyProtection="1">
      <alignment horizontal="center"/>
      <protection locked="0"/>
    </xf>
    <xf numFmtId="0" fontId="0" fillId="3" borderId="26" xfId="0" applyFill="1" applyBorder="1" applyAlignment="1" applyProtection="1">
      <alignment horizontal="center"/>
      <protection locked="0"/>
    </xf>
    <xf numFmtId="0" fontId="0" fillId="3" borderId="27" xfId="0" applyFill="1" applyBorder="1" applyAlignment="1" applyProtection="1">
      <alignment horizontal="center"/>
      <protection locked="0"/>
    </xf>
    <xf numFmtId="0" fontId="0" fillId="3" borderId="28" xfId="0" applyFill="1" applyBorder="1" applyAlignment="1" applyProtection="1">
      <alignment horizontal="center"/>
      <protection locked="0"/>
    </xf>
    <xf numFmtId="0" fontId="7" fillId="0" borderId="0" xfId="0" applyFont="1" applyAlignment="1" applyProtection="1" quotePrefix="1">
      <alignment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Alignment="1" applyProtection="1" quotePrefix="1">
      <alignment horizontal="left"/>
      <protection/>
    </xf>
    <xf numFmtId="0" fontId="7" fillId="0" borderId="0" xfId="0" applyFont="1" applyAlignment="1" applyProtection="1">
      <alignment horizontal="center"/>
      <protection/>
    </xf>
    <xf numFmtId="0" fontId="7" fillId="0" borderId="0" xfId="0" applyFont="1" applyAlignment="1" applyProtection="1">
      <alignment horizontal="left"/>
      <protection/>
    </xf>
    <xf numFmtId="0" fontId="11" fillId="0" borderId="0" xfId="0" applyFont="1" applyAlignment="1" applyProtection="1">
      <alignment horizontal="center"/>
      <protection/>
    </xf>
    <xf numFmtId="0" fontId="14" fillId="0" borderId="0" xfId="0" applyFont="1" applyAlignment="1" applyProtection="1">
      <alignment horizontal="left"/>
      <protection/>
    </xf>
    <xf numFmtId="0" fontId="0" fillId="0" borderId="1" xfId="0" applyBorder="1" applyAlignment="1" applyProtection="1">
      <alignment horizontal="center" vertical="center"/>
      <protection/>
    </xf>
    <xf numFmtId="0" fontId="0" fillId="0" borderId="5" xfId="0" applyBorder="1" applyAlignment="1" applyProtection="1">
      <alignment horizontal="center"/>
      <protection/>
    </xf>
    <xf numFmtId="0" fontId="0" fillId="0" borderId="7" xfId="0" applyBorder="1" applyAlignment="1" applyProtection="1">
      <alignment horizontal="center" vertical="center"/>
      <protection/>
    </xf>
    <xf numFmtId="0" fontId="0" fillId="0" borderId="7" xfId="0" applyBorder="1" applyAlignment="1" applyProtection="1">
      <alignment horizontal="center"/>
      <protection/>
    </xf>
    <xf numFmtId="0" fontId="0" fillId="0" borderId="6" xfId="0" applyBorder="1" applyAlignment="1" applyProtection="1">
      <alignment horizontal="center" vertical="center"/>
      <protection/>
    </xf>
    <xf numFmtId="0" fontId="0" fillId="0" borderId="7" xfId="0" applyBorder="1" applyAlignment="1" applyProtection="1">
      <alignment/>
      <protection/>
    </xf>
    <xf numFmtId="0" fontId="0" fillId="0" borderId="0" xfId="0" applyAlignment="1" applyProtection="1" quotePrefix="1">
      <alignment horizontal="center"/>
      <protection/>
    </xf>
    <xf numFmtId="0" fontId="3" fillId="0" borderId="0" xfId="0" applyFont="1" applyAlignment="1" applyProtection="1">
      <alignment horizontal="center"/>
      <protection/>
    </xf>
    <xf numFmtId="0" fontId="0" fillId="0" borderId="6" xfId="0" applyBorder="1" applyAlignment="1" applyProtection="1">
      <alignment horizontal="center"/>
      <protection/>
    </xf>
    <xf numFmtId="1" fontId="11" fillId="0" borderId="0" xfId="0" applyNumberFormat="1" applyFont="1" applyAlignment="1" applyProtection="1">
      <alignment horizontal="center"/>
      <protection/>
    </xf>
    <xf numFmtId="165" fontId="0" fillId="0" borderId="0" xfId="0" applyNumberFormat="1" applyFont="1" applyBorder="1" applyAlignment="1" applyProtection="1">
      <alignment horizontal="center"/>
      <protection/>
    </xf>
    <xf numFmtId="165" fontId="0" fillId="0" borderId="1" xfId="0" applyNumberFormat="1" applyBorder="1" applyAlignment="1" applyProtection="1">
      <alignment horizontal="center"/>
      <protection/>
    </xf>
    <xf numFmtId="0" fontId="0" fillId="3" borderId="26" xfId="0" applyFont="1" applyFill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 horizontal="left"/>
      <protection/>
    </xf>
    <xf numFmtId="0" fontId="3" fillId="0" borderId="0" xfId="0" applyFont="1" applyAlignment="1" applyProtection="1">
      <alignment horizontal="left"/>
      <protection/>
    </xf>
    <xf numFmtId="0" fontId="0" fillId="0" borderId="29" xfId="0" applyFont="1" applyBorder="1" applyAlignment="1">
      <alignment horizontal="center"/>
    </xf>
    <xf numFmtId="2" fontId="0" fillId="0" borderId="30" xfId="0" applyNumberFormat="1" applyFill="1" applyBorder="1" applyAlignment="1" applyProtection="1">
      <alignment horizontal="center"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dxfs count="1"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emf" /><Relationship Id="rId3" Type="http://schemas.openxmlformats.org/officeDocument/2006/relationships/image" Target="../media/image2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vmlDrawing" Target="../drawings/vmlDrawing1.v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AS131"/>
  <sheetViews>
    <sheetView showGridLines="0" tabSelected="1" view="pageBreakPreview" zoomScaleSheetLayoutView="100" workbookViewId="0" topLeftCell="A4">
      <selection activeCell="C35" sqref="C35"/>
    </sheetView>
  </sheetViews>
  <sheetFormatPr defaultColWidth="11.421875" defaultRowHeight="12"/>
  <cols>
    <col min="1" max="1" width="8.140625" style="28" customWidth="1"/>
    <col min="2" max="3" width="6.8515625" style="28" customWidth="1"/>
    <col min="4" max="4" width="8.00390625" style="28" customWidth="1"/>
    <col min="5" max="5" width="7.421875" style="28" customWidth="1"/>
    <col min="6" max="10" width="6.8515625" style="28" customWidth="1"/>
    <col min="11" max="11" width="5.421875" style="28" customWidth="1"/>
    <col min="12" max="12" width="16.7109375" style="28" customWidth="1"/>
    <col min="13" max="13" width="7.57421875" style="28" customWidth="1"/>
    <col min="14" max="14" width="7.421875" style="28" customWidth="1"/>
    <col min="15" max="15" width="7.140625" style="28" customWidth="1"/>
    <col min="16" max="16" width="8.57421875" style="28" customWidth="1"/>
    <col min="17" max="26" width="7.421875" style="28" customWidth="1"/>
    <col min="27" max="57" width="6.7109375" style="28" customWidth="1"/>
    <col min="58" max="16384" width="11.421875" style="28" customWidth="1"/>
  </cols>
  <sheetData>
    <row r="1" spans="2:9" ht="12.75" thickBot="1">
      <c r="B1" s="110" t="s">
        <v>267</v>
      </c>
      <c r="C1" s="110"/>
      <c r="D1" s="110"/>
      <c r="E1" s="110"/>
      <c r="F1" s="110"/>
      <c r="G1" s="110"/>
      <c r="H1" s="110"/>
      <c r="I1" s="110"/>
    </row>
    <row r="2" spans="1:45" ht="12">
      <c r="A2" s="27" t="s">
        <v>266</v>
      </c>
      <c r="G2" s="29"/>
      <c r="J2" s="30" t="s">
        <v>67</v>
      </c>
      <c r="AB2" s="1" t="s">
        <v>10</v>
      </c>
      <c r="AC2" s="2" t="s">
        <v>11</v>
      </c>
      <c r="AD2" s="3"/>
      <c r="AE2" s="3"/>
      <c r="AF2" s="3"/>
      <c r="AG2" s="3"/>
      <c r="AH2" s="3"/>
      <c r="AI2" s="4"/>
      <c r="AK2" s="13" t="s">
        <v>54</v>
      </c>
      <c r="AL2" s="14"/>
      <c r="AM2" s="14"/>
      <c r="AN2" s="14"/>
      <c r="AO2" s="14"/>
      <c r="AP2" s="14"/>
      <c r="AQ2" s="14"/>
      <c r="AR2" s="14"/>
      <c r="AS2" s="14"/>
    </row>
    <row r="3" spans="1:45" ht="14.25" thickBot="1">
      <c r="A3" s="27" t="s">
        <v>0</v>
      </c>
      <c r="B3" s="31"/>
      <c r="G3" s="29"/>
      <c r="J3" s="30" t="s">
        <v>68</v>
      </c>
      <c r="AB3" s="1" t="s">
        <v>12</v>
      </c>
      <c r="AC3" s="5" t="s">
        <v>13</v>
      </c>
      <c r="AD3" s="5" t="s">
        <v>9</v>
      </c>
      <c r="AE3" s="5" t="s">
        <v>14</v>
      </c>
      <c r="AF3" s="5" t="s">
        <v>15</v>
      </c>
      <c r="AG3" s="5" t="s">
        <v>16</v>
      </c>
      <c r="AH3" s="5" t="s">
        <v>17</v>
      </c>
      <c r="AI3" s="5" t="s">
        <v>18</v>
      </c>
      <c r="AK3" s="15" t="s">
        <v>1</v>
      </c>
      <c r="AL3" s="16" t="s">
        <v>53</v>
      </c>
      <c r="AM3" s="16" t="s">
        <v>55</v>
      </c>
      <c r="AN3" s="17" t="s">
        <v>56</v>
      </c>
      <c r="AO3" s="17" t="s">
        <v>57</v>
      </c>
      <c r="AP3" s="17" t="s">
        <v>58</v>
      </c>
      <c r="AQ3" s="17" t="s">
        <v>59</v>
      </c>
      <c r="AR3" s="16" t="s">
        <v>60</v>
      </c>
      <c r="AS3" s="14"/>
    </row>
    <row r="4" spans="1:45" ht="12.75" thickTop="1">
      <c r="A4" s="32" t="s">
        <v>98</v>
      </c>
      <c r="B4" s="26">
        <v>1.4</v>
      </c>
      <c r="C4" s="29" t="s">
        <v>8</v>
      </c>
      <c r="D4" s="14" t="s">
        <v>164</v>
      </c>
      <c r="G4" s="29"/>
      <c r="J4" s="30" t="s">
        <v>70</v>
      </c>
      <c r="AB4" s="1" t="s">
        <v>19</v>
      </c>
      <c r="AC4" s="6">
        <v>10</v>
      </c>
      <c r="AD4" s="7">
        <v>10</v>
      </c>
      <c r="AE4" s="7">
        <v>10</v>
      </c>
      <c r="AF4" s="7">
        <v>15</v>
      </c>
      <c r="AG4" s="7">
        <v>20</v>
      </c>
      <c r="AH4" s="7">
        <v>25</v>
      </c>
      <c r="AI4" s="7">
        <v>30</v>
      </c>
      <c r="AK4" s="18">
        <v>12</v>
      </c>
      <c r="AL4" s="19">
        <v>1.6</v>
      </c>
      <c r="AM4" s="19">
        <v>27</v>
      </c>
      <c r="AN4" s="19">
        <v>3.5</v>
      </c>
      <c r="AO4" s="19">
        <v>1.8</v>
      </c>
      <c r="AP4" s="19">
        <v>3.5</v>
      </c>
      <c r="AQ4" s="19">
        <v>2</v>
      </c>
      <c r="AR4" s="19">
        <v>2</v>
      </c>
      <c r="AS4" s="14"/>
    </row>
    <row r="5" spans="1:45" ht="12">
      <c r="A5" s="32" t="s">
        <v>99</v>
      </c>
      <c r="B5" s="79">
        <v>1.92</v>
      </c>
      <c r="C5" s="29" t="s">
        <v>8</v>
      </c>
      <c r="D5" s="14" t="s">
        <v>130</v>
      </c>
      <c r="G5" s="29"/>
      <c r="J5" s="30" t="s">
        <v>71</v>
      </c>
      <c r="AB5" s="1" t="s">
        <v>20</v>
      </c>
      <c r="AC5" s="6">
        <v>10</v>
      </c>
      <c r="AD5" s="7">
        <v>10</v>
      </c>
      <c r="AE5" s="7">
        <v>15</v>
      </c>
      <c r="AF5" s="7">
        <v>20</v>
      </c>
      <c r="AG5" s="7">
        <v>25</v>
      </c>
      <c r="AH5" s="7">
        <v>30</v>
      </c>
      <c r="AI5" s="7">
        <v>35</v>
      </c>
      <c r="AK5" s="18">
        <v>16</v>
      </c>
      <c r="AL5" s="19">
        <v>1.9</v>
      </c>
      <c r="AM5" s="19">
        <v>29</v>
      </c>
      <c r="AN5" s="19">
        <v>3.5</v>
      </c>
      <c r="AO5" s="19">
        <v>1.9</v>
      </c>
      <c r="AP5" s="19">
        <v>3.5</v>
      </c>
      <c r="AQ5" s="19">
        <v>2</v>
      </c>
      <c r="AR5" s="19">
        <v>2</v>
      </c>
      <c r="AS5" s="14"/>
    </row>
    <row r="6" spans="1:45" ht="12">
      <c r="A6" s="32" t="s">
        <v>163</v>
      </c>
      <c r="B6" s="79">
        <v>1.4</v>
      </c>
      <c r="C6" s="29" t="s">
        <v>8</v>
      </c>
      <c r="D6" s="14" t="s">
        <v>165</v>
      </c>
      <c r="G6" s="29"/>
      <c r="J6" s="30" t="s">
        <v>69</v>
      </c>
      <c r="AB6" s="1" t="s">
        <v>21</v>
      </c>
      <c r="AC6" s="6">
        <v>10</v>
      </c>
      <c r="AD6" s="7">
        <v>10</v>
      </c>
      <c r="AE6" s="7">
        <v>20</v>
      </c>
      <c r="AF6" s="7">
        <v>25</v>
      </c>
      <c r="AG6" s="7">
        <v>30</v>
      </c>
      <c r="AH6" s="7">
        <v>35</v>
      </c>
      <c r="AI6" s="7">
        <v>40</v>
      </c>
      <c r="AK6" s="18">
        <v>20</v>
      </c>
      <c r="AL6" s="19">
        <v>2.2</v>
      </c>
      <c r="AM6" s="19">
        <v>30</v>
      </c>
      <c r="AN6" s="19">
        <v>3.5</v>
      </c>
      <c r="AO6" s="19">
        <v>2</v>
      </c>
      <c r="AP6" s="19">
        <v>3.5</v>
      </c>
      <c r="AQ6" s="19">
        <v>2</v>
      </c>
      <c r="AR6" s="19">
        <v>2</v>
      </c>
      <c r="AS6" s="14"/>
    </row>
    <row r="7" spans="1:45" ht="13.5">
      <c r="A7" s="32" t="s">
        <v>79</v>
      </c>
      <c r="B7" s="23">
        <v>0.17</v>
      </c>
      <c r="C7" s="29" t="s">
        <v>8</v>
      </c>
      <c r="D7" s="14" t="s">
        <v>166</v>
      </c>
      <c r="G7" s="29"/>
      <c r="J7" s="33"/>
      <c r="AB7" s="1" t="s">
        <v>22</v>
      </c>
      <c r="AC7" s="6">
        <v>10</v>
      </c>
      <c r="AD7" s="7">
        <v>15</v>
      </c>
      <c r="AE7" s="7">
        <v>25</v>
      </c>
      <c r="AF7" s="7">
        <v>30</v>
      </c>
      <c r="AG7" s="7">
        <v>35</v>
      </c>
      <c r="AH7" s="7">
        <v>40</v>
      </c>
      <c r="AI7" s="7">
        <v>45</v>
      </c>
      <c r="AK7" s="18">
        <v>25</v>
      </c>
      <c r="AL7" s="19">
        <v>2.6</v>
      </c>
      <c r="AM7" s="19">
        <v>31</v>
      </c>
      <c r="AN7" s="19">
        <v>3.5</v>
      </c>
      <c r="AO7" s="19">
        <v>2.1</v>
      </c>
      <c r="AP7" s="19">
        <v>3.5</v>
      </c>
      <c r="AQ7" s="19">
        <v>2</v>
      </c>
      <c r="AR7" s="19">
        <v>2</v>
      </c>
      <c r="AS7" s="14"/>
    </row>
    <row r="8" spans="1:45" ht="13.5">
      <c r="A8" s="32" t="s">
        <v>80</v>
      </c>
      <c r="B8" s="23">
        <f>B7</f>
        <v>0.17</v>
      </c>
      <c r="C8" s="29" t="s">
        <v>8</v>
      </c>
      <c r="D8" s="14" t="s">
        <v>131</v>
      </c>
      <c r="AB8" s="1" t="s">
        <v>23</v>
      </c>
      <c r="AC8" s="6">
        <v>15</v>
      </c>
      <c r="AD8" s="7">
        <v>20</v>
      </c>
      <c r="AE8" s="7">
        <v>30</v>
      </c>
      <c r="AF8" s="7">
        <v>35</v>
      </c>
      <c r="AG8" s="7">
        <v>40</v>
      </c>
      <c r="AH8" s="7">
        <v>45</v>
      </c>
      <c r="AI8" s="7">
        <v>50</v>
      </c>
      <c r="AK8" s="18">
        <v>30</v>
      </c>
      <c r="AL8" s="19">
        <v>2.9</v>
      </c>
      <c r="AM8" s="19">
        <v>33</v>
      </c>
      <c r="AN8" s="19">
        <v>3.5</v>
      </c>
      <c r="AO8" s="19">
        <v>2.2</v>
      </c>
      <c r="AP8" s="19">
        <v>3.5</v>
      </c>
      <c r="AQ8" s="19">
        <v>2</v>
      </c>
      <c r="AR8" s="19">
        <v>2</v>
      </c>
      <c r="AS8" s="14"/>
    </row>
    <row r="9" spans="1:45" ht="13.5">
      <c r="A9" s="32" t="s">
        <v>139</v>
      </c>
      <c r="B9" s="23">
        <f>B8</f>
        <v>0.17</v>
      </c>
      <c r="C9" s="29" t="s">
        <v>8</v>
      </c>
      <c r="D9" s="14" t="s">
        <v>168</v>
      </c>
      <c r="J9" s="33"/>
      <c r="AB9" s="1" t="s">
        <v>24</v>
      </c>
      <c r="AC9" s="6">
        <v>20</v>
      </c>
      <c r="AD9" s="7">
        <v>25</v>
      </c>
      <c r="AE9" s="7">
        <v>35</v>
      </c>
      <c r="AF9" s="7">
        <v>40</v>
      </c>
      <c r="AG9" s="7">
        <v>45</v>
      </c>
      <c r="AH9" s="7">
        <v>50</v>
      </c>
      <c r="AI9" s="7">
        <v>55</v>
      </c>
      <c r="AK9" s="20">
        <v>35</v>
      </c>
      <c r="AL9" s="19">
        <v>3.2</v>
      </c>
      <c r="AM9" s="19">
        <v>34</v>
      </c>
      <c r="AN9" s="19">
        <v>3.5</v>
      </c>
      <c r="AO9" s="19">
        <v>2.25</v>
      </c>
      <c r="AP9" s="19">
        <v>3.5</v>
      </c>
      <c r="AQ9" s="19">
        <v>2</v>
      </c>
      <c r="AR9" s="19">
        <v>2</v>
      </c>
      <c r="AS9" s="14"/>
    </row>
    <row r="10" spans="1:45" ht="13.5">
      <c r="A10" s="32" t="s">
        <v>167</v>
      </c>
      <c r="B10" s="23">
        <v>0.167</v>
      </c>
      <c r="C10" s="29" t="s">
        <v>8</v>
      </c>
      <c r="D10" s="29" t="s">
        <v>138</v>
      </c>
      <c r="J10" s="30"/>
      <c r="AK10" s="20">
        <v>40</v>
      </c>
      <c r="AL10" s="19">
        <v>3.5</v>
      </c>
      <c r="AM10" s="19">
        <v>35</v>
      </c>
      <c r="AN10" s="19">
        <v>3.5</v>
      </c>
      <c r="AO10" s="19">
        <v>2.3</v>
      </c>
      <c r="AP10" s="19">
        <v>3.5</v>
      </c>
      <c r="AQ10" s="19">
        <v>2</v>
      </c>
      <c r="AR10" s="19">
        <v>2</v>
      </c>
      <c r="AS10" s="14"/>
    </row>
    <row r="11" spans="1:45" ht="13.5">
      <c r="A11" s="32" t="s">
        <v>143</v>
      </c>
      <c r="B11" s="79">
        <v>0.24</v>
      </c>
      <c r="C11" s="29" t="s">
        <v>8</v>
      </c>
      <c r="D11" s="29" t="s">
        <v>144</v>
      </c>
      <c r="J11" s="34"/>
      <c r="AB11" s="1" t="s">
        <v>48</v>
      </c>
      <c r="AC11" s="2" t="s">
        <v>11</v>
      </c>
      <c r="AD11" s="3"/>
      <c r="AE11" s="3"/>
      <c r="AF11" s="3"/>
      <c r="AG11" s="3"/>
      <c r="AH11" s="3"/>
      <c r="AI11" s="4"/>
      <c r="AK11" s="18">
        <v>45</v>
      </c>
      <c r="AL11" s="19">
        <v>3.8</v>
      </c>
      <c r="AM11" s="19">
        <v>36</v>
      </c>
      <c r="AN11" s="19">
        <v>3.5</v>
      </c>
      <c r="AO11" s="19">
        <v>2.4</v>
      </c>
      <c r="AP11" s="19">
        <v>3.5</v>
      </c>
      <c r="AQ11" s="19">
        <v>2</v>
      </c>
      <c r="AR11" s="19">
        <v>2</v>
      </c>
      <c r="AS11" s="14"/>
    </row>
    <row r="12" spans="1:45" ht="13.5">
      <c r="A12" s="32" t="s">
        <v>134</v>
      </c>
      <c r="B12" s="79">
        <v>0.16</v>
      </c>
      <c r="C12" s="29" t="s">
        <v>8</v>
      </c>
      <c r="D12" s="14" t="s">
        <v>132</v>
      </c>
      <c r="K12" s="14"/>
      <c r="L12" s="14"/>
      <c r="M12" s="14"/>
      <c r="N12" s="14"/>
      <c r="U12" s="28" t="s">
        <v>255</v>
      </c>
      <c r="AB12" s="1" t="s">
        <v>49</v>
      </c>
      <c r="AC12" s="5" t="s">
        <v>13</v>
      </c>
      <c r="AD12" s="5" t="s">
        <v>9</v>
      </c>
      <c r="AE12" s="5" t="s">
        <v>14</v>
      </c>
      <c r="AF12" s="5" t="s">
        <v>15</v>
      </c>
      <c r="AG12" s="5" t="s">
        <v>16</v>
      </c>
      <c r="AH12" s="5" t="s">
        <v>17</v>
      </c>
      <c r="AI12" s="5" t="s">
        <v>18</v>
      </c>
      <c r="AK12" s="18">
        <v>50</v>
      </c>
      <c r="AL12" s="19">
        <v>4.1</v>
      </c>
      <c r="AM12" s="19">
        <v>37</v>
      </c>
      <c r="AN12" s="19">
        <v>3.5</v>
      </c>
      <c r="AO12" s="19">
        <v>2.45</v>
      </c>
      <c r="AP12" s="19">
        <v>3.5</v>
      </c>
      <c r="AQ12" s="19">
        <v>2</v>
      </c>
      <c r="AR12" s="19">
        <v>2</v>
      </c>
      <c r="AS12" s="14"/>
    </row>
    <row r="13" spans="1:45" ht="13.5">
      <c r="A13" s="32" t="s">
        <v>135</v>
      </c>
      <c r="B13" s="23">
        <v>0.16</v>
      </c>
      <c r="C13" s="29" t="s">
        <v>8</v>
      </c>
      <c r="D13" s="14" t="s">
        <v>133</v>
      </c>
      <c r="K13" s="14"/>
      <c r="L13" s="14"/>
      <c r="M13" s="14"/>
      <c r="N13" s="14"/>
      <c r="U13" s="95">
        <v>25</v>
      </c>
      <c r="AB13" s="1" t="s">
        <v>19</v>
      </c>
      <c r="AC13" s="6">
        <v>50</v>
      </c>
      <c r="AD13" s="12">
        <v>10</v>
      </c>
      <c r="AE13" s="12">
        <v>15</v>
      </c>
      <c r="AF13" s="7">
        <v>25</v>
      </c>
      <c r="AG13" s="7">
        <v>30</v>
      </c>
      <c r="AH13" s="7">
        <v>35</v>
      </c>
      <c r="AI13" s="7">
        <v>40</v>
      </c>
      <c r="AK13" s="18">
        <v>55</v>
      </c>
      <c r="AL13" s="19">
        <v>4.2</v>
      </c>
      <c r="AM13" s="19">
        <v>38</v>
      </c>
      <c r="AN13" s="19">
        <v>3.2</v>
      </c>
      <c r="AO13" s="19">
        <v>2.5</v>
      </c>
      <c r="AP13" s="19">
        <v>3.1</v>
      </c>
      <c r="AQ13" s="19">
        <v>2.2</v>
      </c>
      <c r="AR13" s="19">
        <v>1.75</v>
      </c>
      <c r="AS13" s="14"/>
    </row>
    <row r="14" spans="1:45" ht="13.5">
      <c r="A14" s="35" t="s">
        <v>86</v>
      </c>
      <c r="B14" s="23">
        <v>25</v>
      </c>
      <c r="C14" s="29" t="s">
        <v>87</v>
      </c>
      <c r="D14" s="29" t="s">
        <v>88</v>
      </c>
      <c r="K14" s="36"/>
      <c r="L14" s="14"/>
      <c r="M14" s="14"/>
      <c r="N14" s="14"/>
      <c r="U14" s="102">
        <v>32</v>
      </c>
      <c r="AB14" s="1" t="s">
        <v>20</v>
      </c>
      <c r="AC14" s="6">
        <v>50</v>
      </c>
      <c r="AD14" s="7">
        <v>15</v>
      </c>
      <c r="AE14" s="7">
        <v>25</v>
      </c>
      <c r="AF14" s="7">
        <v>30</v>
      </c>
      <c r="AG14" s="7">
        <v>35</v>
      </c>
      <c r="AH14" s="7">
        <v>40</v>
      </c>
      <c r="AI14" s="7">
        <v>45</v>
      </c>
      <c r="AK14" s="18">
        <v>60</v>
      </c>
      <c r="AL14" s="19">
        <v>4.4</v>
      </c>
      <c r="AM14" s="19">
        <v>39</v>
      </c>
      <c r="AN14" s="19">
        <v>3</v>
      </c>
      <c r="AO14" s="19">
        <v>2.6</v>
      </c>
      <c r="AP14" s="19">
        <v>2.9</v>
      </c>
      <c r="AQ14" s="19">
        <v>2.3</v>
      </c>
      <c r="AR14" s="19">
        <v>1.6</v>
      </c>
      <c r="AS14" s="14"/>
    </row>
    <row r="15" spans="1:45" ht="13.5">
      <c r="A15" s="32" t="s">
        <v>136</v>
      </c>
      <c r="B15" s="25">
        <v>2.5</v>
      </c>
      <c r="C15" s="29" t="s">
        <v>85</v>
      </c>
      <c r="D15" s="29" t="s">
        <v>89</v>
      </c>
      <c r="K15" s="14"/>
      <c r="L15" s="14"/>
      <c r="M15" s="14"/>
      <c r="N15" s="14"/>
      <c r="U15" s="102">
        <v>40</v>
      </c>
      <c r="AB15" s="1" t="s">
        <v>21</v>
      </c>
      <c r="AC15" s="6">
        <v>50</v>
      </c>
      <c r="AD15" s="7">
        <v>20</v>
      </c>
      <c r="AE15" s="7">
        <v>30</v>
      </c>
      <c r="AF15" s="7">
        <v>35</v>
      </c>
      <c r="AG15" s="7">
        <v>40</v>
      </c>
      <c r="AH15" s="7">
        <v>45</v>
      </c>
      <c r="AI15" s="7">
        <v>50</v>
      </c>
      <c r="AK15" s="18">
        <v>70</v>
      </c>
      <c r="AL15" s="19">
        <v>4.6</v>
      </c>
      <c r="AM15" s="19">
        <v>41</v>
      </c>
      <c r="AN15" s="19">
        <v>2.8</v>
      </c>
      <c r="AO15" s="19">
        <v>2.7</v>
      </c>
      <c r="AP15" s="19">
        <v>2.7</v>
      </c>
      <c r="AQ15" s="19">
        <v>2.4</v>
      </c>
      <c r="AR15" s="19">
        <v>1.45</v>
      </c>
      <c r="AS15" s="14"/>
    </row>
    <row r="16" spans="1:45" ht="13.5">
      <c r="A16" s="35" t="s">
        <v>90</v>
      </c>
      <c r="B16" s="24">
        <v>1.35</v>
      </c>
      <c r="D16" s="29" t="s">
        <v>103</v>
      </c>
      <c r="K16" s="14"/>
      <c r="L16" s="14"/>
      <c r="M16" s="14"/>
      <c r="N16" s="14"/>
      <c r="P16" s="29"/>
      <c r="T16"/>
      <c r="U16" s="102">
        <v>50</v>
      </c>
      <c r="W16" s="29"/>
      <c r="X16" s="29"/>
      <c r="Y16" s="29"/>
      <c r="Z16" s="29"/>
      <c r="AA16" s="29"/>
      <c r="AB16" s="1" t="s">
        <v>22</v>
      </c>
      <c r="AC16" s="6">
        <v>50</v>
      </c>
      <c r="AD16" s="7">
        <v>25</v>
      </c>
      <c r="AE16" s="7">
        <v>35</v>
      </c>
      <c r="AF16" s="7">
        <v>40</v>
      </c>
      <c r="AG16" s="7">
        <v>45</v>
      </c>
      <c r="AH16" s="7">
        <v>50</v>
      </c>
      <c r="AI16" s="7">
        <v>55</v>
      </c>
      <c r="AK16" s="18">
        <v>80</v>
      </c>
      <c r="AL16" s="19">
        <v>4.8</v>
      </c>
      <c r="AM16" s="19">
        <v>42</v>
      </c>
      <c r="AN16" s="19">
        <v>2.8</v>
      </c>
      <c r="AO16" s="19">
        <v>2.8</v>
      </c>
      <c r="AP16" s="19">
        <v>2.6</v>
      </c>
      <c r="AQ16" s="19">
        <v>2.5</v>
      </c>
      <c r="AR16" s="19">
        <v>1.4</v>
      </c>
      <c r="AS16" s="14"/>
    </row>
    <row r="17" spans="1:45" ht="13.5">
      <c r="A17" s="35" t="s">
        <v>91</v>
      </c>
      <c r="B17" s="24">
        <v>1.5</v>
      </c>
      <c r="D17" s="29" t="s">
        <v>92</v>
      </c>
      <c r="K17" s="14"/>
      <c r="L17" s="14"/>
      <c r="M17" s="14"/>
      <c r="N17" s="14"/>
      <c r="P17" s="29"/>
      <c r="T17"/>
      <c r="U17" s="102">
        <v>63</v>
      </c>
      <c r="W17" s="29"/>
      <c r="X17" s="29"/>
      <c r="AB17" s="1" t="s">
        <v>23</v>
      </c>
      <c r="AC17" s="6">
        <v>50</v>
      </c>
      <c r="AD17" s="7">
        <v>30</v>
      </c>
      <c r="AE17" s="7">
        <v>40</v>
      </c>
      <c r="AF17" s="7">
        <v>45</v>
      </c>
      <c r="AG17" s="7">
        <v>50</v>
      </c>
      <c r="AH17" s="7">
        <v>55</v>
      </c>
      <c r="AI17" s="7">
        <v>60</v>
      </c>
      <c r="AK17" s="21">
        <v>90</v>
      </c>
      <c r="AL17" s="22">
        <v>5</v>
      </c>
      <c r="AM17" s="22">
        <v>44</v>
      </c>
      <c r="AN17" s="22">
        <v>2.8</v>
      </c>
      <c r="AO17" s="22">
        <v>2.8</v>
      </c>
      <c r="AP17" s="22">
        <v>2.6</v>
      </c>
      <c r="AQ17" s="22">
        <v>2.6</v>
      </c>
      <c r="AR17" s="22">
        <v>1.4</v>
      </c>
      <c r="AS17" s="14"/>
    </row>
    <row r="18" spans="1:35" ht="13.5">
      <c r="A18" s="32" t="s">
        <v>1</v>
      </c>
      <c r="B18" s="24">
        <v>25</v>
      </c>
      <c r="C18" s="29" t="s">
        <v>7</v>
      </c>
      <c r="D18" s="11" t="s">
        <v>137</v>
      </c>
      <c r="K18" s="14"/>
      <c r="L18" s="14"/>
      <c r="M18" s="14"/>
      <c r="N18" s="14"/>
      <c r="T18"/>
      <c r="U18" s="102">
        <v>80</v>
      </c>
      <c r="AB18" s="1" t="s">
        <v>24</v>
      </c>
      <c r="AC18" s="6">
        <v>50</v>
      </c>
      <c r="AD18" s="7">
        <v>35</v>
      </c>
      <c r="AE18" s="7">
        <v>45</v>
      </c>
      <c r="AF18" s="7">
        <v>50</v>
      </c>
      <c r="AG18" s="7">
        <v>55</v>
      </c>
      <c r="AH18" s="7">
        <v>60</v>
      </c>
      <c r="AI18" s="7">
        <v>65</v>
      </c>
    </row>
    <row r="19" spans="1:39" ht="13.5">
      <c r="A19" s="35" t="s">
        <v>3</v>
      </c>
      <c r="B19" s="23">
        <v>1.5</v>
      </c>
      <c r="C19" s="29"/>
      <c r="D19" s="11" t="s">
        <v>61</v>
      </c>
      <c r="E19" s="29"/>
      <c r="K19" s="14"/>
      <c r="L19" s="14"/>
      <c r="M19" s="14"/>
      <c r="N19" s="14"/>
      <c r="U19" s="102">
        <v>100</v>
      </c>
      <c r="AL19" s="37"/>
      <c r="AM19" s="38" t="s">
        <v>78</v>
      </c>
    </row>
    <row r="20" spans="1:39" ht="13.5">
      <c r="A20" s="32" t="s">
        <v>2</v>
      </c>
      <c r="B20" s="23">
        <v>500</v>
      </c>
      <c r="C20" s="29" t="s">
        <v>7</v>
      </c>
      <c r="D20" s="11" t="s">
        <v>62</v>
      </c>
      <c r="K20" s="14"/>
      <c r="L20" s="14"/>
      <c r="M20" s="14"/>
      <c r="N20" s="14"/>
      <c r="U20" s="102">
        <v>125</v>
      </c>
      <c r="AL20" s="39" t="s">
        <v>13</v>
      </c>
      <c r="AM20" s="40">
        <v>0</v>
      </c>
    </row>
    <row r="21" spans="1:39" ht="13.5">
      <c r="A21" s="35" t="s">
        <v>4</v>
      </c>
      <c r="B21" s="24">
        <v>1.15</v>
      </c>
      <c r="C21" s="29"/>
      <c r="D21" s="11" t="s">
        <v>63</v>
      </c>
      <c r="K21" s="14"/>
      <c r="L21" s="14"/>
      <c r="M21" s="14"/>
      <c r="N21" s="14"/>
      <c r="U21" s="102">
        <v>160</v>
      </c>
      <c r="AB21" s="8" t="s">
        <v>25</v>
      </c>
      <c r="AC21" s="8" t="s">
        <v>9</v>
      </c>
      <c r="AD21" s="8" t="s">
        <v>26</v>
      </c>
      <c r="AF21" s="14"/>
      <c r="AG21" s="14"/>
      <c r="AH21" s="14"/>
      <c r="AI21" s="14"/>
      <c r="AL21" s="39" t="s">
        <v>9</v>
      </c>
      <c r="AM21" s="40">
        <v>20</v>
      </c>
    </row>
    <row r="22" spans="1:39" ht="13.5">
      <c r="A22" s="41" t="s">
        <v>169</v>
      </c>
      <c r="B22" s="79" t="s">
        <v>9</v>
      </c>
      <c r="D22" s="29" t="s">
        <v>148</v>
      </c>
      <c r="L22" s="14"/>
      <c r="M22" s="14"/>
      <c r="N22" s="14"/>
      <c r="U22" s="102">
        <v>200</v>
      </c>
      <c r="AB22" s="9" t="s">
        <v>27</v>
      </c>
      <c r="AC22" s="9" t="s">
        <v>28</v>
      </c>
      <c r="AD22" s="9" t="s">
        <v>29</v>
      </c>
      <c r="AF22" s="14"/>
      <c r="AG22" s="14"/>
      <c r="AH22" s="14"/>
      <c r="AI22" s="14"/>
      <c r="AL22" s="39" t="s">
        <v>28</v>
      </c>
      <c r="AM22" s="40">
        <v>20</v>
      </c>
    </row>
    <row r="23" spans="1:41" ht="13.5">
      <c r="A23" s="41" t="s">
        <v>170</v>
      </c>
      <c r="B23" s="79" t="s">
        <v>32</v>
      </c>
      <c r="D23" s="29" t="s">
        <v>150</v>
      </c>
      <c r="G23" s="42"/>
      <c r="L23" s="14"/>
      <c r="M23" s="14"/>
      <c r="N23" s="14"/>
      <c r="Q23" s="101"/>
      <c r="U23" s="102">
        <v>250</v>
      </c>
      <c r="AB23" s="9" t="s">
        <v>30</v>
      </c>
      <c r="AC23" s="9" t="s">
        <v>31</v>
      </c>
      <c r="AD23" s="9" t="s">
        <v>32</v>
      </c>
      <c r="AF23" s="14"/>
      <c r="AG23" s="14"/>
      <c r="AH23" s="14"/>
      <c r="AI23" s="14"/>
      <c r="AL23" s="39" t="s">
        <v>31</v>
      </c>
      <c r="AM23" s="40">
        <v>25</v>
      </c>
      <c r="AO23" s="28">
        <f>MAX(B7,B8,B9)</f>
        <v>0.17</v>
      </c>
    </row>
    <row r="24" spans="1:39" ht="13.5">
      <c r="A24" s="43" t="s">
        <v>151</v>
      </c>
      <c r="B24" s="79">
        <v>10</v>
      </c>
      <c r="C24" s="29" t="s">
        <v>50</v>
      </c>
      <c r="D24" s="29" t="s">
        <v>171</v>
      </c>
      <c r="L24" s="14"/>
      <c r="M24" s="14"/>
      <c r="N24" s="14"/>
      <c r="Q24" s="101"/>
      <c r="T24" s="19"/>
      <c r="U24" s="102">
        <v>320</v>
      </c>
      <c r="AB24" s="9" t="s">
        <v>33</v>
      </c>
      <c r="AC24" s="9" t="s">
        <v>15</v>
      </c>
      <c r="AD24" s="9" t="s">
        <v>34</v>
      </c>
      <c r="AF24" s="14"/>
      <c r="AG24" s="14"/>
      <c r="AH24" s="14"/>
      <c r="AL24" s="39" t="s">
        <v>15</v>
      </c>
      <c r="AM24" s="40">
        <v>25</v>
      </c>
    </row>
    <row r="25" spans="1:39" ht="12.75" thickBot="1">
      <c r="A25" s="44" t="s">
        <v>234</v>
      </c>
      <c r="B25" s="80">
        <v>0</v>
      </c>
      <c r="C25" s="29"/>
      <c r="D25" s="45" t="s">
        <v>233</v>
      </c>
      <c r="L25" s="14"/>
      <c r="M25" s="14"/>
      <c r="N25" s="14"/>
      <c r="R25" s="103"/>
      <c r="U25" s="102">
        <v>400</v>
      </c>
      <c r="AB25" s="9" t="s">
        <v>35</v>
      </c>
      <c r="AC25" s="9" t="s">
        <v>36</v>
      </c>
      <c r="AD25" s="9" t="s">
        <v>37</v>
      </c>
      <c r="AF25" s="14"/>
      <c r="AG25" s="14"/>
      <c r="AH25" s="46" t="s">
        <v>209</v>
      </c>
      <c r="AL25" s="39" t="s">
        <v>36</v>
      </c>
      <c r="AM25" s="40">
        <v>25</v>
      </c>
    </row>
    <row r="26" spans="1:39" ht="12.75" thickTop="1">
      <c r="A26" s="43"/>
      <c r="B26" s="47"/>
      <c r="C26" s="29"/>
      <c r="D26" s="29"/>
      <c r="L26" s="14"/>
      <c r="M26" s="14"/>
      <c r="N26" s="14"/>
      <c r="U26" s="102">
        <v>450</v>
      </c>
      <c r="AB26" s="9" t="s">
        <v>38</v>
      </c>
      <c r="AC26" s="9" t="s">
        <v>39</v>
      </c>
      <c r="AD26" s="10" t="s">
        <v>64</v>
      </c>
      <c r="AF26" s="14"/>
      <c r="AG26" s="14"/>
      <c r="AH26" s="46" t="s">
        <v>211</v>
      </c>
      <c r="AL26" s="39" t="s">
        <v>39</v>
      </c>
      <c r="AM26" s="40">
        <v>30</v>
      </c>
    </row>
    <row r="27" spans="1:39" ht="12">
      <c r="A27" s="27" t="s">
        <v>217</v>
      </c>
      <c r="G27" s="14"/>
      <c r="H27" s="44"/>
      <c r="I27" s="14"/>
      <c r="J27" s="14"/>
      <c r="K27" s="14"/>
      <c r="L27" s="14"/>
      <c r="M27" s="14"/>
      <c r="N27" s="14"/>
      <c r="U27" s="102">
        <v>500</v>
      </c>
      <c r="AB27" s="9" t="s">
        <v>40</v>
      </c>
      <c r="AC27" s="9" t="s">
        <v>41</v>
      </c>
      <c r="AD27" s="11"/>
      <c r="AF27" s="14"/>
      <c r="AG27" s="14"/>
      <c r="AH27" s="14"/>
      <c r="AL27" s="39" t="s">
        <v>41</v>
      </c>
      <c r="AM27" s="40">
        <v>35</v>
      </c>
    </row>
    <row r="28" spans="1:39" ht="12.75" thickBot="1">
      <c r="A28" s="27"/>
      <c r="B28" s="28" t="s">
        <v>214</v>
      </c>
      <c r="C28" s="28" t="s">
        <v>216</v>
      </c>
      <c r="D28" s="28" t="s">
        <v>218</v>
      </c>
      <c r="Q28" s="19"/>
      <c r="R28" s="19"/>
      <c r="U28" s="97">
        <v>630</v>
      </c>
      <c r="AB28" s="9" t="s">
        <v>42</v>
      </c>
      <c r="AC28" s="9" t="s">
        <v>43</v>
      </c>
      <c r="AD28" s="11"/>
      <c r="AF28" s="14"/>
      <c r="AG28" s="14"/>
      <c r="AH28" s="14"/>
      <c r="AL28" s="39" t="s">
        <v>43</v>
      </c>
      <c r="AM28" s="40">
        <v>30</v>
      </c>
    </row>
    <row r="29" spans="1:39" ht="12.75" thickTop="1">
      <c r="A29" s="44" t="s">
        <v>102</v>
      </c>
      <c r="B29" s="81">
        <v>12</v>
      </c>
      <c r="C29" s="82">
        <v>10</v>
      </c>
      <c r="D29" s="83">
        <v>6</v>
      </c>
      <c r="F29" s="29" t="s">
        <v>155</v>
      </c>
      <c r="G29" s="14"/>
      <c r="H29" s="44"/>
      <c r="I29" s="14"/>
      <c r="J29" s="14"/>
      <c r="K29" s="14"/>
      <c r="L29" s="14"/>
      <c r="P29" s="32"/>
      <c r="S29" s="103"/>
      <c r="AB29" s="9" t="s">
        <v>44</v>
      </c>
      <c r="AC29" s="9" t="s">
        <v>45</v>
      </c>
      <c r="AD29" s="11"/>
      <c r="AL29" s="39" t="s">
        <v>45</v>
      </c>
      <c r="AM29" s="40">
        <v>30</v>
      </c>
    </row>
    <row r="30" spans="1:39" ht="12.75" thickBot="1">
      <c r="A30" s="32" t="s">
        <v>101</v>
      </c>
      <c r="B30" s="106">
        <v>170</v>
      </c>
      <c r="C30" s="85">
        <v>150</v>
      </c>
      <c r="D30" s="86">
        <v>300</v>
      </c>
      <c r="E30" s="29" t="s">
        <v>50</v>
      </c>
      <c r="F30" s="29" t="s">
        <v>221</v>
      </c>
      <c r="L30" s="14"/>
      <c r="M30" s="14"/>
      <c r="N30" s="14"/>
      <c r="S30" s="68"/>
      <c r="AB30" s="10" t="s">
        <v>46</v>
      </c>
      <c r="AC30" s="10" t="s">
        <v>47</v>
      </c>
      <c r="AD30" s="11"/>
      <c r="AL30" s="39" t="s">
        <v>47</v>
      </c>
      <c r="AM30" s="40">
        <v>35</v>
      </c>
    </row>
    <row r="31" spans="1:39" ht="14.25" thickTop="1">
      <c r="A31" s="32" t="s">
        <v>219</v>
      </c>
      <c r="B31" s="48">
        <f>MIN(3*MIN(B7:B8)*1000,400)</f>
        <v>400</v>
      </c>
      <c r="C31" s="48">
        <f>MIN(3*MIN(B8,B9)*1000,400)</f>
        <v>400</v>
      </c>
      <c r="D31" s="48">
        <f>MIN(3*B9*1000,400)</f>
        <v>400</v>
      </c>
      <c r="E31" s="29" t="s">
        <v>50</v>
      </c>
      <c r="F31" s="29" t="s">
        <v>220</v>
      </c>
      <c r="L31" s="14"/>
      <c r="M31" s="14"/>
      <c r="N31" s="14"/>
      <c r="S31" s="68"/>
      <c r="AH31" s="28">
        <v>1</v>
      </c>
      <c r="AI31" s="28">
        <v>2</v>
      </c>
      <c r="AJ31" s="28">
        <v>3</v>
      </c>
      <c r="AL31" s="39" t="s">
        <v>72</v>
      </c>
      <c r="AM31" s="40">
        <v>25</v>
      </c>
    </row>
    <row r="32" spans="1:39" ht="14.25">
      <c r="A32" s="32" t="s">
        <v>223</v>
      </c>
      <c r="B32" s="49">
        <f>PI()/4*(B29/10)^2/B30*1000</f>
        <v>6.652784442896032</v>
      </c>
      <c r="C32" s="49">
        <f>PI()/4*(C29/10)^2/C30*1000</f>
        <v>5.235987755982988</v>
      </c>
      <c r="D32" s="49">
        <f>PI()/4*(D29/10)^2/D30*1000</f>
        <v>0.9424777960769379</v>
      </c>
      <c r="E32" s="50" t="s">
        <v>6</v>
      </c>
      <c r="F32" s="29" t="s">
        <v>225</v>
      </c>
      <c r="L32" s="14"/>
      <c r="M32" s="14"/>
      <c r="N32" s="14"/>
      <c r="S32" s="68"/>
      <c r="AB32" s="28" t="s">
        <v>149</v>
      </c>
      <c r="AG32" s="28" t="s">
        <v>187</v>
      </c>
      <c r="AH32" s="51">
        <f>B16*B49+B17*B15</f>
        <v>9.4875</v>
      </c>
      <c r="AI32" s="51">
        <f>B16*B50+B17*B15</f>
        <v>13.557954387629149</v>
      </c>
      <c r="AJ32" s="51">
        <f>B16*B51+B17*B15</f>
        <v>9.4875</v>
      </c>
      <c r="AL32" s="39" t="s">
        <v>74</v>
      </c>
      <c r="AM32" s="40">
        <v>25</v>
      </c>
    </row>
    <row r="33" spans="1:39" ht="14.25">
      <c r="A33" s="32" t="s">
        <v>224</v>
      </c>
      <c r="B33" s="52">
        <f>MAX(B72:F72)</f>
        <v>6.062287870441299</v>
      </c>
      <c r="C33" s="52">
        <f>MAX(H72:J72)</f>
        <v>4.953586695481786</v>
      </c>
      <c r="D33" s="52">
        <f>MAX(I72:K72)</f>
        <v>0.8662056083038955</v>
      </c>
      <c r="E33" s="50" t="s">
        <v>6</v>
      </c>
      <c r="F33" s="29" t="s">
        <v>226</v>
      </c>
      <c r="L33" s="14"/>
      <c r="M33" s="14"/>
      <c r="N33" s="14"/>
      <c r="S33" s="68"/>
      <c r="AB33" s="53">
        <f>Classex(TabXCB,TabXCP,fck,B22,50,B23,1)</f>
        <v>4</v>
      </c>
      <c r="AG33" s="28" t="s">
        <v>188</v>
      </c>
      <c r="AH33" s="51">
        <f>AH32</f>
        <v>9.4875</v>
      </c>
      <c r="AI33" s="51">
        <f>AI32</f>
        <v>13.557954387629149</v>
      </c>
      <c r="AJ33" s="51">
        <f>AJ32</f>
        <v>9.4875</v>
      </c>
      <c r="AL33" s="39" t="s">
        <v>75</v>
      </c>
      <c r="AM33" s="40">
        <v>30</v>
      </c>
    </row>
    <row r="34" spans="2:39" ht="12.75" thickBot="1">
      <c r="B34" s="54" t="str">
        <f>IF(B32&gt;B33,"OK","KO")</f>
        <v>OK</v>
      </c>
      <c r="C34" s="54" t="str">
        <f>IF(C32&gt;C33,"OK","KO")</f>
        <v>OK</v>
      </c>
      <c r="D34" s="54" t="str">
        <f>IF(D32&gt;D33,"OK","KO")</f>
        <v>OK</v>
      </c>
      <c r="S34" s="68"/>
      <c r="AB34" s="53">
        <f>Classex(TabXCB,TabXCP,fck,B22,50,B23,2)</f>
        <v>2</v>
      </c>
      <c r="AG34" s="28" t="s">
        <v>98</v>
      </c>
      <c r="AH34" s="53">
        <f>C65</f>
        <v>0.08</v>
      </c>
      <c r="AI34" s="53">
        <f>AH34+AH35</f>
        <v>1.48</v>
      </c>
      <c r="AJ34" s="53">
        <f>AI34+AI35</f>
        <v>3.4</v>
      </c>
      <c r="AL34" s="39" t="s">
        <v>73</v>
      </c>
      <c r="AM34" s="40">
        <v>30</v>
      </c>
    </row>
    <row r="35" spans="1:39" ht="14.25" thickTop="1">
      <c r="A35" s="44" t="s">
        <v>162</v>
      </c>
      <c r="B35" s="81">
        <v>6</v>
      </c>
      <c r="C35" s="83">
        <v>6</v>
      </c>
      <c r="D35" s="14"/>
      <c r="E35" s="29" t="s">
        <v>50</v>
      </c>
      <c r="F35" s="29" t="s">
        <v>172</v>
      </c>
      <c r="L35" s="14"/>
      <c r="M35" s="14"/>
      <c r="N35" s="14"/>
      <c r="S35" s="68"/>
      <c r="AB35" s="53">
        <f>INDEX(TabXCB,AB33,AB34)</f>
        <v>15</v>
      </c>
      <c r="AH35" s="53">
        <f>B4</f>
        <v>1.4</v>
      </c>
      <c r="AI35" s="53">
        <f>B5</f>
        <v>1.92</v>
      </c>
      <c r="AJ35" s="53">
        <f>B6</f>
        <v>1.4</v>
      </c>
      <c r="AL35" s="39" t="s">
        <v>76</v>
      </c>
      <c r="AM35" s="40">
        <v>35</v>
      </c>
    </row>
    <row r="36" spans="1:39" ht="14.25" thickBot="1">
      <c r="A36" s="44" t="s">
        <v>215</v>
      </c>
      <c r="B36" s="84">
        <v>220</v>
      </c>
      <c r="C36" s="86">
        <v>270</v>
      </c>
      <c r="E36" s="29" t="s">
        <v>50</v>
      </c>
      <c r="F36" s="29" t="s">
        <v>239</v>
      </c>
      <c r="L36" s="14"/>
      <c r="M36" s="14"/>
      <c r="N36" s="14"/>
      <c r="S36" s="68"/>
      <c r="AG36" s="28" t="s">
        <v>99</v>
      </c>
      <c r="AL36" s="55" t="s">
        <v>77</v>
      </c>
      <c r="AM36" s="56">
        <v>40</v>
      </c>
    </row>
    <row r="37" spans="1:35" ht="15" thickTop="1">
      <c r="A37" s="44"/>
      <c r="B37" s="111">
        <f>PI()/4*(B35/10)^2/B36*1000</f>
        <v>1.28519699465037</v>
      </c>
      <c r="C37" s="111">
        <f>PI()/4*(C35/10)^2/C36*1000</f>
        <v>1.0471975511965979</v>
      </c>
      <c r="D37" s="39"/>
      <c r="E37" s="69" t="s">
        <v>6</v>
      </c>
      <c r="F37" s="29" t="s">
        <v>265</v>
      </c>
      <c r="L37" s="14"/>
      <c r="M37" s="14"/>
      <c r="N37" s="14"/>
      <c r="S37" s="68"/>
      <c r="AG37" s="14"/>
      <c r="AH37" s="28" t="s">
        <v>197</v>
      </c>
      <c r="AI37" s="57">
        <f>Mmax(B48,tabtr,1)</f>
        <v>35.87099697576293</v>
      </c>
    </row>
    <row r="38" spans="1:35" ht="12">
      <c r="A38" s="14"/>
      <c r="B38" s="54" t="str">
        <f>IF(0.2*B33&lt;PI()*(B35/10)^2/4/B36*1000,"OK","KO")</f>
        <v>OK</v>
      </c>
      <c r="C38" s="54" t="str">
        <f>IF(0.2*C33&lt;PI()*(C35/10)^2/4/C36*1000,"OK","KO")</f>
        <v>OK</v>
      </c>
      <c r="D38" s="14"/>
      <c r="E38" s="14"/>
      <c r="F38" s="14"/>
      <c r="G38" s="14"/>
      <c r="H38" s="14"/>
      <c r="L38" s="14"/>
      <c r="M38" s="14"/>
      <c r="N38" s="14"/>
      <c r="S38" s="68"/>
      <c r="AG38" s="14"/>
      <c r="AH38" s="47" t="s">
        <v>198</v>
      </c>
      <c r="AI38" s="59">
        <f>Mmax(B48,tabtr,2)</f>
        <v>2.4399998930836526</v>
      </c>
    </row>
    <row r="39" spans="1:19" ht="12">
      <c r="A39" s="14"/>
      <c r="B39" s="54"/>
      <c r="C39" s="54"/>
      <c r="D39" s="14"/>
      <c r="E39" s="14"/>
      <c r="F39" s="14"/>
      <c r="G39" s="14"/>
      <c r="H39" s="14"/>
      <c r="L39" s="14"/>
      <c r="M39" s="14"/>
      <c r="N39" s="14"/>
      <c r="S39" s="68"/>
    </row>
    <row r="40" spans="1:30" ht="12">
      <c r="A40" s="58" t="s">
        <v>65</v>
      </c>
      <c r="C40" s="29"/>
      <c r="L40" s="14"/>
      <c r="M40" s="14"/>
      <c r="N40" s="14"/>
      <c r="S40" s="68"/>
      <c r="AA40" s="14"/>
      <c r="AB40" s="14"/>
      <c r="AC40" s="14"/>
      <c r="AD40" s="14"/>
    </row>
    <row r="41" spans="1:37" ht="13.5">
      <c r="A41" s="41" t="s">
        <v>152</v>
      </c>
      <c r="B41" s="53">
        <f>AB35-5+B24</f>
        <v>20</v>
      </c>
      <c r="C41" s="29" t="s">
        <v>50</v>
      </c>
      <c r="D41" s="29" t="str">
        <f>"enrobage nominal palier gauche pour la classe d'exposition "&amp;B$22&amp;" et la classe structurale S3"</f>
        <v>enrobage nominal palier gauche pour la classe d'exposition XC1 et la classe structurale S3</v>
      </c>
      <c r="E41" s="29"/>
      <c r="L41" s="14"/>
      <c r="M41" s="14"/>
      <c r="N41" s="14"/>
      <c r="S41" s="68"/>
      <c r="AA41" s="14"/>
      <c r="AB41" s="53" t="s">
        <v>210</v>
      </c>
      <c r="AC41" s="53">
        <f>B7</f>
        <v>0.17</v>
      </c>
      <c r="AD41" s="53">
        <f>B7</f>
        <v>0.17</v>
      </c>
      <c r="AE41" s="53">
        <f>B7</f>
        <v>0.17</v>
      </c>
      <c r="AF41" s="53">
        <f>B8</f>
        <v>0.17</v>
      </c>
      <c r="AG41" s="53">
        <f>B8</f>
        <v>0.17</v>
      </c>
      <c r="AH41" s="53">
        <f>B8</f>
        <v>0.17</v>
      </c>
      <c r="AI41" s="53">
        <f>B9</f>
        <v>0.17</v>
      </c>
      <c r="AJ41" s="53">
        <f>B9</f>
        <v>0.17</v>
      </c>
      <c r="AK41" s="53">
        <f>B9</f>
        <v>0.17</v>
      </c>
    </row>
    <row r="42" spans="1:37" ht="13.5">
      <c r="A42" s="41" t="s">
        <v>153</v>
      </c>
      <c r="B42" s="53">
        <f>AB35-5+B24</f>
        <v>20</v>
      </c>
      <c r="C42" s="29" t="s">
        <v>50</v>
      </c>
      <c r="D42" s="29" t="str">
        <f>"enrobage nominal paillasse pour la classe d'exposition "&amp;B$22&amp;" et la classe structurale S3"</f>
        <v>enrobage nominal paillasse pour la classe d'exposition XC1 et la classe structurale S3</v>
      </c>
      <c r="E42" s="29"/>
      <c r="L42" s="14"/>
      <c r="M42" s="14"/>
      <c r="N42" s="14"/>
      <c r="S42" s="68"/>
      <c r="AB42" s="53" t="s">
        <v>101</v>
      </c>
      <c r="AC42" s="53">
        <f>MIN(3*AC41*1000,400)</f>
        <v>400</v>
      </c>
      <c r="AD42" s="53">
        <f aca="true" t="shared" si="0" ref="AD42:AK42">MIN(3*AD41*1000,400)</f>
        <v>400</v>
      </c>
      <c r="AE42" s="53">
        <f t="shared" si="0"/>
        <v>400</v>
      </c>
      <c r="AF42" s="53">
        <f t="shared" si="0"/>
        <v>400</v>
      </c>
      <c r="AG42" s="53">
        <f>MIN(2*AG41*1000,250)</f>
        <v>250</v>
      </c>
      <c r="AH42" s="53">
        <f t="shared" si="0"/>
        <v>400</v>
      </c>
      <c r="AI42" s="53">
        <f t="shared" si="0"/>
        <v>400</v>
      </c>
      <c r="AJ42" s="53">
        <f t="shared" si="0"/>
        <v>400</v>
      </c>
      <c r="AK42" s="53">
        <f t="shared" si="0"/>
        <v>400</v>
      </c>
    </row>
    <row r="43" spans="1:19" ht="13.5">
      <c r="A43" s="41" t="s">
        <v>173</v>
      </c>
      <c r="B43" s="53">
        <f>AB35-5+B24</f>
        <v>20</v>
      </c>
      <c r="C43" s="29" t="s">
        <v>50</v>
      </c>
      <c r="D43" s="29" t="str">
        <f>"enrobage nominal palier gauche pour la classe d'exposition "&amp;B$22&amp;" et la classe structurale S3"</f>
        <v>enrobage nominal palier gauche pour la classe d'exposition XC1 et la classe structurale S3</v>
      </c>
      <c r="E43" s="29"/>
      <c r="L43" s="14"/>
      <c r="M43" s="14"/>
      <c r="N43" s="14"/>
      <c r="S43" s="68"/>
    </row>
    <row r="44" spans="1:19" ht="13.5">
      <c r="A44" s="41" t="s">
        <v>81</v>
      </c>
      <c r="B44" s="60">
        <f>B7*1000-B41-B$29/2</f>
        <v>144</v>
      </c>
      <c r="C44" s="11" t="s">
        <v>50</v>
      </c>
      <c r="D44" s="45" t="s">
        <v>156</v>
      </c>
      <c r="F44" s="29" t="s">
        <v>185</v>
      </c>
      <c r="K44" s="29"/>
      <c r="L44" s="14"/>
      <c r="M44" s="14"/>
      <c r="N44" s="14"/>
      <c r="S44" s="68"/>
    </row>
    <row r="45" spans="1:19" ht="13.5">
      <c r="A45" s="41" t="s">
        <v>82</v>
      </c>
      <c r="B45" s="60">
        <f>B8*1000-B42-B$29/2</f>
        <v>144</v>
      </c>
      <c r="C45" s="11" t="s">
        <v>50</v>
      </c>
      <c r="D45" s="45" t="s">
        <v>157</v>
      </c>
      <c r="F45" s="29" t="s">
        <v>147</v>
      </c>
      <c r="K45" s="45"/>
      <c r="L45" s="14"/>
      <c r="M45" s="14"/>
      <c r="N45" s="14"/>
      <c r="S45" s="68"/>
    </row>
    <row r="46" spans="1:19" ht="13.5">
      <c r="A46" s="41" t="s">
        <v>174</v>
      </c>
      <c r="B46" s="60">
        <f>B9*1000-B43-B$29/2</f>
        <v>144</v>
      </c>
      <c r="C46" s="11" t="s">
        <v>50</v>
      </c>
      <c r="D46" s="45" t="s">
        <v>175</v>
      </c>
      <c r="F46" s="29" t="s">
        <v>184</v>
      </c>
      <c r="L46" s="14"/>
      <c r="S46" s="68"/>
    </row>
    <row r="47" spans="1:6" ht="13.5">
      <c r="A47" s="43" t="s">
        <v>98</v>
      </c>
      <c r="B47" s="61">
        <f>ATAN(B10/B11)*180/PI()</f>
        <v>34.831483270632155</v>
      </c>
      <c r="C47" s="11" t="s">
        <v>142</v>
      </c>
      <c r="D47" s="45" t="s">
        <v>176</v>
      </c>
      <c r="F47" s="29" t="s">
        <v>154</v>
      </c>
    </row>
    <row r="48" spans="1:8" ht="13.5">
      <c r="A48" s="41" t="s">
        <v>93</v>
      </c>
      <c r="B48" s="60">
        <f>B4+B5+B6+0.5*MIN(B12,B7)+0.5*MIN(B13,B9)</f>
        <v>4.88</v>
      </c>
      <c r="C48" s="11" t="s">
        <v>8</v>
      </c>
      <c r="D48" s="45" t="s">
        <v>177</v>
      </c>
      <c r="H48" s="29" t="s">
        <v>141</v>
      </c>
    </row>
    <row r="49" spans="1:7" ht="13.5">
      <c r="A49" s="41" t="s">
        <v>83</v>
      </c>
      <c r="B49" s="61">
        <f>B14*B7</f>
        <v>4.25</v>
      </c>
      <c r="C49" s="11" t="s">
        <v>140</v>
      </c>
      <c r="D49" s="45" t="s">
        <v>182</v>
      </c>
      <c r="E49" s="29" t="s">
        <v>181</v>
      </c>
      <c r="F49" s="14"/>
      <c r="G49" s="14"/>
    </row>
    <row r="50" spans="1:12" ht="13.5">
      <c r="A50" s="44" t="s">
        <v>84</v>
      </c>
      <c r="B50" s="61">
        <f>B14*(B8/COS(B47*PI()/180)+B10/2)</f>
        <v>7.265151398243813</v>
      </c>
      <c r="C50" s="11" t="s">
        <v>140</v>
      </c>
      <c r="D50" s="45" t="s">
        <v>178</v>
      </c>
      <c r="F50" s="29" t="s">
        <v>160</v>
      </c>
      <c r="G50" s="14"/>
      <c r="K50" s="14"/>
      <c r="L50" s="14"/>
    </row>
    <row r="51" spans="1:12" ht="13.5">
      <c r="A51" s="44" t="s">
        <v>179</v>
      </c>
      <c r="B51" s="60">
        <f>B14*B9</f>
        <v>4.25</v>
      </c>
      <c r="C51" s="11" t="s">
        <v>140</v>
      </c>
      <c r="D51" s="45" t="s">
        <v>183</v>
      </c>
      <c r="E51" s="29" t="s">
        <v>180</v>
      </c>
      <c r="F51" s="14"/>
      <c r="G51" s="14"/>
      <c r="K51" s="14"/>
      <c r="L51" s="14"/>
    </row>
    <row r="52" spans="1:5" ht="13.5">
      <c r="A52" s="41" t="s">
        <v>145</v>
      </c>
      <c r="B52" s="62">
        <f>fck/$B$19</f>
        <v>16.666666666666668</v>
      </c>
      <c r="C52" s="29" t="s">
        <v>7</v>
      </c>
      <c r="D52" s="45" t="s">
        <v>146</v>
      </c>
      <c r="E52" s="29" t="s">
        <v>159</v>
      </c>
    </row>
    <row r="53" spans="1:4" ht="13.5">
      <c r="A53" s="32" t="s">
        <v>53</v>
      </c>
      <c r="B53" s="53">
        <f>VLOOKUP(fck,tabfck,2)</f>
        <v>2.6</v>
      </c>
      <c r="C53" s="29" t="s">
        <v>7</v>
      </c>
      <c r="D53" s="28" t="s">
        <v>249</v>
      </c>
    </row>
    <row r="54" spans="1:4" ht="13.5">
      <c r="A54" s="32" t="s">
        <v>246</v>
      </c>
      <c r="B54" s="51">
        <f>(0.7*B53/B19)</f>
        <v>1.2133333333333332</v>
      </c>
      <c r="C54" s="29" t="s">
        <v>7</v>
      </c>
      <c r="D54" s="100" t="s">
        <v>250</v>
      </c>
    </row>
    <row r="55" spans="1:5" ht="13.5">
      <c r="A55" s="32" t="s">
        <v>245</v>
      </c>
      <c r="B55" s="53">
        <f>2.25*B54</f>
        <v>2.7299999999999995</v>
      </c>
      <c r="C55" s="29" t="s">
        <v>7</v>
      </c>
      <c r="D55" s="45" t="s">
        <v>251</v>
      </c>
      <c r="E55" s="29"/>
    </row>
    <row r="56" spans="1:15" ht="13.5">
      <c r="A56" s="41" t="s">
        <v>5</v>
      </c>
      <c r="B56" s="63">
        <f>B20/B21</f>
        <v>434.7826086956522</v>
      </c>
      <c r="C56" s="29" t="s">
        <v>7</v>
      </c>
      <c r="D56" s="45" t="s">
        <v>97</v>
      </c>
      <c r="E56" s="29" t="s">
        <v>66</v>
      </c>
      <c r="O56" s="14"/>
    </row>
    <row r="57" spans="1:15" ht="12">
      <c r="A57" s="41"/>
      <c r="B57" s="104"/>
      <c r="C57" s="29"/>
      <c r="D57" s="45"/>
      <c r="E57" s="29"/>
      <c r="O57" s="14"/>
    </row>
    <row r="58" spans="1:15" ht="12">
      <c r="A58" s="27" t="s">
        <v>192</v>
      </c>
      <c r="M58" s="14"/>
      <c r="N58" s="14"/>
      <c r="O58" s="14"/>
    </row>
    <row r="59" spans="2:15" ht="12">
      <c r="B59" s="28">
        <v>1</v>
      </c>
      <c r="C59" s="28">
        <v>2</v>
      </c>
      <c r="D59" s="28">
        <v>3</v>
      </c>
      <c r="K59" s="14"/>
      <c r="L59" s="14"/>
      <c r="M59" s="14"/>
      <c r="N59" s="14"/>
      <c r="O59" s="14"/>
    </row>
    <row r="60" spans="1:15" ht="12">
      <c r="A60" s="32" t="s">
        <v>189</v>
      </c>
      <c r="B60" s="51">
        <f>AH32</f>
        <v>9.4875</v>
      </c>
      <c r="C60" s="51">
        <f>AI32</f>
        <v>13.557954387629149</v>
      </c>
      <c r="D60" s="51">
        <f>AJ32</f>
        <v>9.4875</v>
      </c>
      <c r="E60" s="28" t="s">
        <v>140</v>
      </c>
      <c r="F60" s="45" t="s">
        <v>227</v>
      </c>
      <c r="L60" s="14"/>
      <c r="N60" s="14"/>
      <c r="O60" s="14"/>
    </row>
    <row r="61" spans="1:15" ht="13.5">
      <c r="A61" s="32" t="s">
        <v>190</v>
      </c>
      <c r="B61" s="53">
        <f aca="true" t="shared" si="1" ref="B61:D62">AH34</f>
        <v>0.08</v>
      </c>
      <c r="C61" s="53">
        <f t="shared" si="1"/>
        <v>1.48</v>
      </c>
      <c r="D61" s="53">
        <f t="shared" si="1"/>
        <v>3.4</v>
      </c>
      <c r="E61" s="28" t="s">
        <v>8</v>
      </c>
      <c r="F61" s="29" t="s">
        <v>193</v>
      </c>
      <c r="N61" s="14"/>
      <c r="O61" s="14"/>
    </row>
    <row r="62" spans="1:15" ht="13.5">
      <c r="A62" s="32" t="s">
        <v>191</v>
      </c>
      <c r="B62" s="53">
        <f t="shared" si="1"/>
        <v>1.4</v>
      </c>
      <c r="C62" s="53">
        <f t="shared" si="1"/>
        <v>1.92</v>
      </c>
      <c r="D62" s="53">
        <f t="shared" si="1"/>
        <v>1.4</v>
      </c>
      <c r="E62" s="28" t="s">
        <v>8</v>
      </c>
      <c r="F62" s="29" t="s">
        <v>194</v>
      </c>
      <c r="N62" s="14"/>
      <c r="O62" s="14"/>
    </row>
    <row r="63" ht="12">
      <c r="O63" s="14"/>
    </row>
    <row r="64" spans="1:18" ht="12">
      <c r="A64" s="58" t="s">
        <v>212</v>
      </c>
      <c r="R64" s="100"/>
    </row>
    <row r="65" spans="1:18" ht="12">
      <c r="A65" s="32" t="s">
        <v>186</v>
      </c>
      <c r="B65" s="57">
        <v>0</v>
      </c>
      <c r="C65" s="57">
        <f>0.5*MIN(B7,B12)</f>
        <v>0.08</v>
      </c>
      <c r="D65" s="57">
        <f>C65+B4-0.0001</f>
        <v>1.4799</v>
      </c>
      <c r="E65" s="57">
        <f>D65+0.0002</f>
        <v>1.4801</v>
      </c>
      <c r="F65" s="57">
        <f>AI38</f>
        <v>2.4399998930836526</v>
      </c>
      <c r="G65" s="57">
        <f>C65+B4+B5-0.0001</f>
        <v>3.3998999999999997</v>
      </c>
      <c r="H65" s="57">
        <f>G65+0.0002</f>
        <v>3.4000999999999997</v>
      </c>
      <c r="I65" s="57">
        <f>G65+B6</f>
        <v>4.799899999999999</v>
      </c>
      <c r="J65" s="57">
        <f>B48</f>
        <v>4.88</v>
      </c>
      <c r="K65" s="11" t="s">
        <v>8</v>
      </c>
      <c r="M65" s="29" t="s">
        <v>201</v>
      </c>
      <c r="O65" s="14"/>
      <c r="R65" s="100"/>
    </row>
    <row r="66" spans="1:18" ht="13.5">
      <c r="A66" s="41" t="s">
        <v>195</v>
      </c>
      <c r="B66" s="51">
        <f aca="true" t="shared" si="2" ref="B66:J66">VM(B65,$B$48,3,tabtr,1)</f>
        <v>26.298136212123982</v>
      </c>
      <c r="C66" s="51">
        <f t="shared" si="2"/>
        <v>26.298136212123982</v>
      </c>
      <c r="D66" s="51">
        <f t="shared" si="2"/>
        <v>13.016584962123984</v>
      </c>
      <c r="E66" s="51">
        <f t="shared" si="2"/>
        <v>13.01428041668522</v>
      </c>
      <c r="F66" s="51">
        <f t="shared" si="2"/>
        <v>1.4495669602432315E-06</v>
      </c>
      <c r="G66" s="51">
        <f t="shared" si="2"/>
        <v>-13.014280416685219</v>
      </c>
      <c r="H66" s="51">
        <f t="shared" si="2"/>
        <v>-13.01658496212398</v>
      </c>
      <c r="I66" s="51">
        <f t="shared" si="2"/>
        <v>-26.29718746212398</v>
      </c>
      <c r="J66" s="51">
        <f t="shared" si="2"/>
        <v>-26.298136212123985</v>
      </c>
      <c r="K66" s="11" t="s">
        <v>196</v>
      </c>
      <c r="L66" s="29" t="s">
        <v>207</v>
      </c>
      <c r="M66" s="29" t="s">
        <v>202</v>
      </c>
      <c r="O66" s="14"/>
      <c r="R66" s="100"/>
    </row>
    <row r="67" spans="1:18" ht="13.5">
      <c r="A67" s="41" t="s">
        <v>95</v>
      </c>
      <c r="B67" s="51">
        <f>-0.15*F67</f>
        <v>-5.380649546364439</v>
      </c>
      <c r="C67" s="51">
        <f aca="true" t="shared" si="3" ref="C67:I67">VM(C65,$B$48,3,tabtr,2)</f>
        <v>2.1038508969699183</v>
      </c>
      <c r="D67" s="51">
        <f t="shared" si="3"/>
        <v>29.62218998288478</v>
      </c>
      <c r="E67" s="51">
        <f t="shared" si="3"/>
        <v>29.624793089774933</v>
      </c>
      <c r="F67" s="51">
        <f t="shared" si="3"/>
        <v>35.87099697576293</v>
      </c>
      <c r="G67" s="51">
        <f t="shared" si="3"/>
        <v>29.62479308977494</v>
      </c>
      <c r="H67" s="51">
        <f t="shared" si="3"/>
        <v>29.622189982884787</v>
      </c>
      <c r="I67" s="51">
        <f t="shared" si="3"/>
        <v>2.106480663153649</v>
      </c>
      <c r="J67" s="51">
        <f>B67</f>
        <v>-5.380649546364439</v>
      </c>
      <c r="K67" s="11" t="s">
        <v>94</v>
      </c>
      <c r="L67" s="29" t="s">
        <v>207</v>
      </c>
      <c r="M67" s="29" t="s">
        <v>203</v>
      </c>
      <c r="O67" s="14"/>
      <c r="R67" s="100"/>
    </row>
    <row r="68" spans="1:15" ht="13.5">
      <c r="A68" s="32" t="s">
        <v>199</v>
      </c>
      <c r="B68" s="53">
        <f>$B44/1000</f>
        <v>0.144</v>
      </c>
      <c r="C68" s="53">
        <f>B68</f>
        <v>0.144</v>
      </c>
      <c r="D68" s="53">
        <f>C68</f>
        <v>0.144</v>
      </c>
      <c r="E68" s="53">
        <f>$B45/1000</f>
        <v>0.144</v>
      </c>
      <c r="F68" s="53">
        <f>E68</f>
        <v>0.144</v>
      </c>
      <c r="G68" s="53">
        <f>F68</f>
        <v>0.144</v>
      </c>
      <c r="H68" s="53">
        <f>$B46/1000</f>
        <v>0.144</v>
      </c>
      <c r="I68" s="53">
        <f>H68</f>
        <v>0.144</v>
      </c>
      <c r="J68" s="53">
        <f>I68</f>
        <v>0.144</v>
      </c>
      <c r="K68" s="29" t="s">
        <v>8</v>
      </c>
      <c r="L68" s="45" t="s">
        <v>208</v>
      </c>
      <c r="M68" s="29" t="s">
        <v>200</v>
      </c>
      <c r="O68" s="14"/>
    </row>
    <row r="69" spans="1:15" ht="14.25">
      <c r="A69" s="43" t="s">
        <v>8</v>
      </c>
      <c r="B69" s="64">
        <f aca="true" t="shared" si="4" ref="B69:J69">ABS(B67/1000/$B52/(B68)^2)</f>
        <v>0.015569009104063771</v>
      </c>
      <c r="C69" s="64">
        <f t="shared" si="4"/>
        <v>0.0060875315305842555</v>
      </c>
      <c r="D69" s="64">
        <f t="shared" si="4"/>
        <v>0.08571235527455087</v>
      </c>
      <c r="E69" s="64">
        <f t="shared" si="4"/>
        <v>0.08571988741254322</v>
      </c>
      <c r="F69" s="64">
        <f t="shared" si="4"/>
        <v>0.10379339402709181</v>
      </c>
      <c r="G69" s="64">
        <f t="shared" si="4"/>
        <v>0.08571988741254323</v>
      </c>
      <c r="H69" s="64">
        <f t="shared" si="4"/>
        <v>0.08571235527455089</v>
      </c>
      <c r="I69" s="64">
        <f t="shared" si="4"/>
        <v>0.006095140807736253</v>
      </c>
      <c r="J69" s="64">
        <f t="shared" si="4"/>
        <v>0.015569009104063771</v>
      </c>
      <c r="K69" s="29"/>
      <c r="L69" s="45" t="s">
        <v>204</v>
      </c>
      <c r="M69" s="29" t="s">
        <v>229</v>
      </c>
      <c r="O69" s="14"/>
    </row>
    <row r="70" spans="1:13" ht="13.5">
      <c r="A70" s="41" t="s">
        <v>100</v>
      </c>
      <c r="B70" s="53">
        <f>0.5*B68*(1+SQRT(1-2*B69))</f>
        <v>0.14287016659786447</v>
      </c>
      <c r="C70" s="53">
        <f aca="true" t="shared" si="5" ref="C70:J70">0.5*C68*(1+SQRT(1-2*C69))</f>
        <v>0.1435603554567115</v>
      </c>
      <c r="D70" s="53">
        <f t="shared" si="5"/>
        <v>0.13753879996241505</v>
      </c>
      <c r="E70" s="53">
        <f t="shared" si="5"/>
        <v>0.13753820418127696</v>
      </c>
      <c r="F70" s="53">
        <f t="shared" si="5"/>
        <v>0.13609266799507655</v>
      </c>
      <c r="G70" s="53">
        <f t="shared" si="5"/>
        <v>0.13753820418127696</v>
      </c>
      <c r="H70" s="53">
        <f t="shared" si="5"/>
        <v>0.13753879996241505</v>
      </c>
      <c r="I70" s="53">
        <f t="shared" si="5"/>
        <v>0.14355980422070333</v>
      </c>
      <c r="J70" s="53">
        <f t="shared" si="5"/>
        <v>0.14287016659786447</v>
      </c>
      <c r="K70" s="29" t="s">
        <v>8</v>
      </c>
      <c r="L70" s="45" t="s">
        <v>205</v>
      </c>
      <c r="M70" s="11" t="s">
        <v>161</v>
      </c>
    </row>
    <row r="71" spans="1:13" ht="12">
      <c r="A71" s="44" t="s">
        <v>102</v>
      </c>
      <c r="B71" s="53">
        <f>B35</f>
        <v>6</v>
      </c>
      <c r="C71" s="53">
        <f>B29</f>
        <v>12</v>
      </c>
      <c r="D71" s="53">
        <f>C71</f>
        <v>12</v>
      </c>
      <c r="E71" s="53">
        <f>D71</f>
        <v>12</v>
      </c>
      <c r="F71" s="53">
        <f>E71</f>
        <v>12</v>
      </c>
      <c r="G71" s="53">
        <f>F71</f>
        <v>12</v>
      </c>
      <c r="H71" s="53">
        <f>C29</f>
        <v>10</v>
      </c>
      <c r="I71" s="53">
        <f>H71</f>
        <v>10</v>
      </c>
      <c r="J71" s="53">
        <f>C35</f>
        <v>6</v>
      </c>
      <c r="K71" s="29" t="s">
        <v>50</v>
      </c>
      <c r="L71" s="29" t="s">
        <v>236</v>
      </c>
      <c r="M71" s="29" t="s">
        <v>228</v>
      </c>
    </row>
    <row r="72" spans="1:13" ht="14.25">
      <c r="A72" s="41" t="s">
        <v>238</v>
      </c>
      <c r="B72" s="51">
        <f aca="true" t="shared" si="6" ref="B72:J72">ABS(B67/B70*10/$B56)</f>
        <v>0.8662056083038955</v>
      </c>
      <c r="C72" s="51">
        <f t="shared" si="6"/>
        <v>0.3370608165211668</v>
      </c>
      <c r="D72" s="51">
        <f t="shared" si="6"/>
        <v>4.9535866954817855</v>
      </c>
      <c r="E72" s="51">
        <f t="shared" si="6"/>
        <v>4.954043461020979</v>
      </c>
      <c r="F72" s="51">
        <f t="shared" si="6"/>
        <v>6.062287870441299</v>
      </c>
      <c r="G72" s="51">
        <f t="shared" si="6"/>
        <v>4.954043461020981</v>
      </c>
      <c r="H72" s="51">
        <f t="shared" si="6"/>
        <v>4.953586695481786</v>
      </c>
      <c r="I72" s="51">
        <f t="shared" si="6"/>
        <v>0.3374834307941114</v>
      </c>
      <c r="J72" s="51">
        <f t="shared" si="6"/>
        <v>0.8662056083038955</v>
      </c>
      <c r="K72" s="50" t="s">
        <v>6</v>
      </c>
      <c r="L72" s="45" t="s">
        <v>206</v>
      </c>
      <c r="M72" s="11" t="s">
        <v>237</v>
      </c>
    </row>
    <row r="73" spans="1:14" ht="14.25">
      <c r="A73" s="41" t="s">
        <v>101</v>
      </c>
      <c r="B73" s="65">
        <f>PI()*(B71/10)^2/4/B72*1000</f>
        <v>326.41596419205484</v>
      </c>
      <c r="C73" s="65">
        <f aca="true" t="shared" si="7" ref="C73:J73">PI()*(C71/10)^2/4/C72*1000</f>
        <v>3355.39849148055</v>
      </c>
      <c r="D73" s="65">
        <f t="shared" si="7"/>
        <v>228.31403280453281</v>
      </c>
      <c r="E73" s="65">
        <f t="shared" si="7"/>
        <v>228.2929821247961</v>
      </c>
      <c r="F73" s="65">
        <f t="shared" si="7"/>
        <v>186.55883380377932</v>
      </c>
      <c r="G73" s="65">
        <f t="shared" si="7"/>
        <v>228.29298212479603</v>
      </c>
      <c r="H73" s="65">
        <f t="shared" si="7"/>
        <v>158.5514116698144</v>
      </c>
      <c r="I73" s="65">
        <f t="shared" si="7"/>
        <v>2327.219921728828</v>
      </c>
      <c r="J73" s="65">
        <f t="shared" si="7"/>
        <v>326.41596419205484</v>
      </c>
      <c r="K73" s="29" t="s">
        <v>50</v>
      </c>
      <c r="L73" s="45" t="s">
        <v>158</v>
      </c>
      <c r="M73" s="66" t="str">
        <f>"espacement des barres nécessaire : HA"&amp;B29</f>
        <v>espacement des barres nécessaire : HA12</v>
      </c>
      <c r="N73" s="14"/>
    </row>
    <row r="74" spans="1:18" ht="12">
      <c r="A74" s="41"/>
      <c r="R74" s="100"/>
    </row>
    <row r="76" spans="1:15" ht="12">
      <c r="A76" s="27" t="s">
        <v>115</v>
      </c>
      <c r="C76" s="29" t="str">
        <f>"dalle"&amp;IF(B25=0," sans","avec ")&amp;" redistribution transversale"</f>
        <v>dalle sans redistribution transversale</v>
      </c>
      <c r="L76" s="14"/>
      <c r="M76" s="14"/>
      <c r="N76" s="14"/>
      <c r="O76" s="14"/>
    </row>
    <row r="77" spans="1:15" ht="12">
      <c r="A77" s="28" t="s">
        <v>222</v>
      </c>
      <c r="B77" s="53" t="s">
        <v>214</v>
      </c>
      <c r="C77" s="53" t="s">
        <v>216</v>
      </c>
      <c r="L77" s="14"/>
      <c r="M77" s="14"/>
      <c r="O77" s="14"/>
    </row>
    <row r="78" spans="1:15" ht="13.5">
      <c r="A78" s="32" t="s">
        <v>195</v>
      </c>
      <c r="B78" s="67">
        <f>B66</f>
        <v>26.298136212123982</v>
      </c>
      <c r="C78" s="51">
        <f>-J66</f>
        <v>26.298136212123985</v>
      </c>
      <c r="D78" s="11" t="s">
        <v>196</v>
      </c>
      <c r="E78" s="14"/>
      <c r="F78" s="14"/>
      <c r="G78" s="14"/>
      <c r="H78" s="68"/>
      <c r="I78" s="68"/>
      <c r="J78" s="68"/>
      <c r="L78" s="14"/>
      <c r="M78" s="29"/>
      <c r="N78" s="14"/>
      <c r="O78" s="14"/>
    </row>
    <row r="79" spans="1:15" ht="12">
      <c r="A79" s="32" t="s">
        <v>199</v>
      </c>
      <c r="B79" s="53">
        <f>B44</f>
        <v>144</v>
      </c>
      <c r="C79" s="53">
        <f>B46</f>
        <v>144</v>
      </c>
      <c r="D79" s="11" t="s">
        <v>50</v>
      </c>
      <c r="F79" s="14"/>
      <c r="G79" s="14"/>
      <c r="M79" s="69"/>
      <c r="N79" s="14"/>
      <c r="O79" s="14"/>
    </row>
    <row r="80" spans="1:15" ht="13.5">
      <c r="A80" s="32" t="s">
        <v>109</v>
      </c>
      <c r="B80" s="53">
        <f>MIN(2,1+SQRT(200/B79))</f>
        <v>2</v>
      </c>
      <c r="C80" s="53">
        <f>MIN(2,1+SQRT(200/C79))</f>
        <v>2</v>
      </c>
      <c r="D80" s="11"/>
      <c r="E80" s="45" t="s">
        <v>213</v>
      </c>
      <c r="G80" s="14"/>
      <c r="M80" s="29"/>
      <c r="N80" s="14"/>
      <c r="O80" s="14"/>
    </row>
    <row r="81" spans="1:15" ht="13.5">
      <c r="A81" s="32" t="s">
        <v>52</v>
      </c>
      <c r="B81" s="51">
        <f>B32</f>
        <v>6.652784442896032</v>
      </c>
      <c r="C81" s="51">
        <f>C32</f>
        <v>5.235987755982988</v>
      </c>
      <c r="D81" s="50" t="s">
        <v>6</v>
      </c>
      <c r="E81" s="45" t="s">
        <v>231</v>
      </c>
      <c r="K81" s="14"/>
      <c r="M81" s="11"/>
      <c r="N81" s="14"/>
      <c r="O81" s="14"/>
    </row>
    <row r="82" spans="1:15" ht="13.5">
      <c r="A82" s="35" t="s">
        <v>118</v>
      </c>
      <c r="B82" s="53">
        <f>B81/B44/10</f>
        <v>0.004619989196455578</v>
      </c>
      <c r="C82" s="53">
        <f>C81/B46/10</f>
        <v>0.0036361026083215195</v>
      </c>
      <c r="D82" s="11"/>
      <c r="E82" s="45" t="s">
        <v>230</v>
      </c>
      <c r="F82" s="14"/>
      <c r="G82" s="14"/>
      <c r="H82" s="14"/>
      <c r="I82" s="14"/>
      <c r="J82" s="14"/>
      <c r="K82" s="14"/>
      <c r="L82" s="14"/>
      <c r="M82" s="14"/>
      <c r="N82" s="14"/>
      <c r="O82" s="14"/>
    </row>
    <row r="83" spans="1:15" ht="13.5">
      <c r="A83" s="32" t="s">
        <v>116</v>
      </c>
      <c r="B83" s="57">
        <f>0.12*B80*(100*B82*fck)^(1/3)</f>
        <v>0.5425064399323353</v>
      </c>
      <c r="C83" s="57">
        <f>0.12*C80*(100*C82*fck)^(1/3)</f>
        <v>0.5008833798856053</v>
      </c>
      <c r="D83" s="11" t="s">
        <v>7</v>
      </c>
      <c r="E83" s="45" t="s">
        <v>117</v>
      </c>
      <c r="F83" s="14"/>
      <c r="G83" s="14"/>
      <c r="H83" s="14"/>
      <c r="I83" s="14"/>
      <c r="J83" s="14"/>
      <c r="K83" s="14"/>
      <c r="L83" s="14"/>
      <c r="M83" s="14"/>
      <c r="N83" s="14"/>
      <c r="O83" s="14"/>
    </row>
    <row r="84" spans="1:15" ht="13.5">
      <c r="A84" s="32" t="s">
        <v>119</v>
      </c>
      <c r="B84" s="70">
        <f>IF(B25=0,0.053/B19*B80^1.5*SQRT(fck),0.34/$B$19*SQRT(fck))</f>
        <v>0.49968879203849353</v>
      </c>
      <c r="C84" s="53">
        <f>IF(B25=0,0.053/B19*C80^1.5*SQRT(fck),0.34/$B$19*SQRT(fck))</f>
        <v>0.49968879203849353</v>
      </c>
      <c r="D84" s="29" t="s">
        <v>7</v>
      </c>
      <c r="E84" s="71" t="s">
        <v>127</v>
      </c>
      <c r="H84" s="14"/>
      <c r="I84" s="14"/>
      <c r="J84" s="14"/>
      <c r="K84" s="14"/>
      <c r="M84" s="14"/>
      <c r="N84" s="14"/>
      <c r="O84" s="14"/>
    </row>
    <row r="85" spans="1:15" ht="13.5">
      <c r="A85" s="32" t="s">
        <v>232</v>
      </c>
      <c r="B85" s="72">
        <f>MAX(B83,B84)*B79</f>
        <v>78.12092735025628</v>
      </c>
      <c r="C85" s="72">
        <f>MAX(C83,C84)*C79</f>
        <v>72.12720670352716</v>
      </c>
      <c r="D85" s="29" t="s">
        <v>196</v>
      </c>
      <c r="E85" s="71" t="s">
        <v>235</v>
      </c>
      <c r="I85" s="14"/>
      <c r="J85" s="14"/>
      <c r="K85" s="14"/>
      <c r="M85" s="92" t="s">
        <v>242</v>
      </c>
      <c r="N85" s="14"/>
      <c r="O85" s="14"/>
    </row>
    <row r="86" spans="2:15" ht="12">
      <c r="B86" s="54" t="str">
        <f>IF(B85&gt;B78,"OK","KO")</f>
        <v>OK</v>
      </c>
      <c r="C86" s="54" t="str">
        <f>IF(C85&gt;C78,"OK","KO")</f>
        <v>OK</v>
      </c>
      <c r="H86" s="14"/>
      <c r="I86" s="14"/>
      <c r="J86" s="14"/>
      <c r="K86" s="14"/>
      <c r="L86" s="14"/>
      <c r="M86" s="14"/>
      <c r="N86" s="14"/>
      <c r="O86" s="14"/>
    </row>
    <row r="87" spans="8:15" ht="12">
      <c r="H87" s="14"/>
      <c r="J87" s="14"/>
      <c r="K87" s="14"/>
      <c r="L87" s="14"/>
      <c r="M87" s="14"/>
      <c r="N87" s="14"/>
      <c r="O87" s="14"/>
    </row>
    <row r="88" spans="1:15" ht="13.5">
      <c r="A88" s="93" t="s">
        <v>129</v>
      </c>
      <c r="E88" s="14"/>
      <c r="J88" s="14"/>
      <c r="M88" s="14"/>
      <c r="N88" s="14"/>
      <c r="O88" s="14"/>
    </row>
    <row r="89" spans="1:15" ht="15">
      <c r="A89" s="87" t="s">
        <v>240</v>
      </c>
      <c r="B89" s="88"/>
      <c r="C89" s="88"/>
      <c r="D89" s="88"/>
      <c r="E89" s="14"/>
      <c r="J89" s="14"/>
      <c r="K89" s="14"/>
      <c r="L89" s="14"/>
      <c r="M89" s="14"/>
      <c r="N89" s="14"/>
      <c r="O89" s="14"/>
    </row>
    <row r="90" spans="1:11" ht="13.5">
      <c r="A90" s="89" t="s">
        <v>108</v>
      </c>
      <c r="B90" s="90"/>
      <c r="C90" s="90"/>
      <c r="D90" s="90"/>
      <c r="E90" s="14"/>
      <c r="F90" s="14"/>
      <c r="J90" s="14"/>
      <c r="K90" s="14"/>
    </row>
    <row r="91" spans="1:11" ht="15">
      <c r="A91" s="89" t="s">
        <v>241</v>
      </c>
      <c r="B91" s="90"/>
      <c r="C91" s="90"/>
      <c r="D91" s="90"/>
      <c r="F91" s="14"/>
      <c r="K91" s="14"/>
    </row>
    <row r="92" spans="1:11" ht="13.5">
      <c r="A92" s="90"/>
      <c r="B92" s="91" t="s">
        <v>104</v>
      </c>
      <c r="C92" s="90"/>
      <c r="D92" s="90"/>
      <c r="F92" s="14"/>
      <c r="J92" s="14"/>
      <c r="K92" s="14"/>
    </row>
    <row r="93" spans="1:11" ht="13.5">
      <c r="A93" s="90"/>
      <c r="B93" s="91" t="s">
        <v>105</v>
      </c>
      <c r="C93" s="90"/>
      <c r="D93" s="90"/>
      <c r="J93" s="14"/>
      <c r="K93" s="14"/>
    </row>
    <row r="94" spans="1:11" ht="13.5">
      <c r="A94" s="90"/>
      <c r="B94" s="91" t="s">
        <v>106</v>
      </c>
      <c r="C94" s="90"/>
      <c r="D94" s="90"/>
      <c r="J94" s="14"/>
      <c r="K94" s="14"/>
    </row>
    <row r="95" spans="1:11" ht="13.5">
      <c r="A95" s="90"/>
      <c r="B95" s="91" t="s">
        <v>107</v>
      </c>
      <c r="C95" s="90"/>
      <c r="D95" s="90"/>
      <c r="F95" s="14"/>
      <c r="G95" s="14"/>
      <c r="J95" s="14"/>
      <c r="K95" s="14"/>
    </row>
    <row r="96" spans="6:12" ht="12">
      <c r="F96" s="14"/>
      <c r="G96" s="14"/>
      <c r="J96" s="14"/>
      <c r="K96" s="14"/>
      <c r="L96" s="14"/>
    </row>
    <row r="97" spans="1:15" ht="12">
      <c r="A97" s="27" t="s">
        <v>114</v>
      </c>
      <c r="B97" s="73"/>
      <c r="C97" s="73"/>
      <c r="D97" s="73"/>
      <c r="E97" s="73"/>
      <c r="F97" s="73"/>
      <c r="G97" s="46"/>
      <c r="J97" s="14"/>
      <c r="K97" s="14"/>
      <c r="L97" s="14"/>
      <c r="M97" s="14"/>
      <c r="N97" s="14"/>
      <c r="O97" s="14"/>
    </row>
    <row r="98" spans="1:15" ht="13.5">
      <c r="A98" s="74" t="s">
        <v>120</v>
      </c>
      <c r="B98" s="75">
        <v>0.4</v>
      </c>
      <c r="C98" s="73"/>
      <c r="D98" s="76" t="s">
        <v>110</v>
      </c>
      <c r="E98" s="73"/>
      <c r="F98" s="73"/>
      <c r="G98" s="46"/>
      <c r="J98" s="14"/>
      <c r="K98" s="14"/>
      <c r="L98" s="14"/>
      <c r="M98" s="14"/>
      <c r="N98" s="14"/>
      <c r="O98" s="14"/>
    </row>
    <row r="99" spans="1:15" ht="12">
      <c r="A99" s="74" t="s">
        <v>109</v>
      </c>
      <c r="B99" s="75">
        <f>IF(AO23&lt;=0.3,1,IF(AO23&gt;0.8,0.65,1.1-(AO23-0.3)/0.5*0.35))</f>
        <v>1</v>
      </c>
      <c r="C99" s="73"/>
      <c r="D99" s="76" t="s">
        <v>111</v>
      </c>
      <c r="E99" s="73"/>
      <c r="F99" s="73"/>
      <c r="G99" s="46"/>
      <c r="J99" s="14"/>
      <c r="K99" s="14"/>
      <c r="L99" s="14"/>
      <c r="M99" s="14"/>
      <c r="N99" s="14"/>
      <c r="O99" s="14"/>
    </row>
    <row r="100" spans="1:15" ht="14.25">
      <c r="A100" s="74" t="s">
        <v>121</v>
      </c>
      <c r="B100" s="75">
        <f>MAX(B7,B8,B9)/2</f>
        <v>0.085</v>
      </c>
      <c r="C100" s="77" t="s">
        <v>122</v>
      </c>
      <c r="D100" s="76" t="s">
        <v>112</v>
      </c>
      <c r="E100" s="73"/>
      <c r="F100" s="73"/>
      <c r="G100" s="46"/>
      <c r="J100" s="14"/>
      <c r="K100" s="14"/>
      <c r="L100" s="14"/>
      <c r="M100" s="14"/>
      <c r="N100" s="14"/>
      <c r="O100" s="14"/>
    </row>
    <row r="101" spans="1:15" ht="13.5">
      <c r="A101" s="74" t="s">
        <v>123</v>
      </c>
      <c r="B101" s="75">
        <f>VLOOKUP(fck,tabfck,2)</f>
        <v>2.6</v>
      </c>
      <c r="C101" s="77" t="s">
        <v>7</v>
      </c>
      <c r="D101" s="76" t="s">
        <v>124</v>
      </c>
      <c r="E101" s="73"/>
      <c r="F101" s="73"/>
      <c r="G101" s="46"/>
      <c r="J101" s="14"/>
      <c r="K101" s="14"/>
      <c r="L101" s="14"/>
      <c r="M101" s="14"/>
      <c r="N101" s="14"/>
      <c r="O101" s="14"/>
    </row>
    <row r="102" spans="1:15" ht="13.5">
      <c r="A102" s="35" t="s">
        <v>51</v>
      </c>
      <c r="B102" s="75">
        <f>B20</f>
        <v>500</v>
      </c>
      <c r="C102" s="77" t="s">
        <v>7</v>
      </c>
      <c r="D102" s="76" t="s">
        <v>125</v>
      </c>
      <c r="E102" s="73"/>
      <c r="F102" s="73"/>
      <c r="G102" s="46"/>
      <c r="J102" s="14"/>
      <c r="K102" s="14"/>
      <c r="L102" s="14"/>
      <c r="M102" s="14"/>
      <c r="N102" s="14"/>
      <c r="O102" s="14"/>
    </row>
    <row r="103" spans="1:15" ht="14.25">
      <c r="A103" s="74" t="s">
        <v>96</v>
      </c>
      <c r="B103" s="78">
        <f>B98*B99*B101*B100/B102*10000</f>
        <v>1.7680000000000002</v>
      </c>
      <c r="C103" s="77" t="s">
        <v>6</v>
      </c>
      <c r="D103" s="76" t="s">
        <v>128</v>
      </c>
      <c r="E103" s="73"/>
      <c r="G103" s="46"/>
      <c r="J103" s="14"/>
      <c r="K103" s="14"/>
      <c r="L103" s="14"/>
      <c r="M103" s="14"/>
      <c r="N103" s="14"/>
      <c r="O103" s="14"/>
    </row>
    <row r="104" spans="1:15" ht="12">
      <c r="A104" s="73"/>
      <c r="B104" s="54" t="str">
        <f>IF(B103&lt;C32,"OK","KO")</f>
        <v>OK</v>
      </c>
      <c r="C104" s="73"/>
      <c r="D104" s="73"/>
      <c r="E104" s="73"/>
      <c r="F104" s="73"/>
      <c r="G104" s="46"/>
      <c r="J104" s="14"/>
      <c r="K104" s="14"/>
      <c r="L104" s="14"/>
      <c r="M104" s="14"/>
      <c r="N104" s="14"/>
      <c r="O104" s="14"/>
    </row>
    <row r="105" spans="1:15" ht="12">
      <c r="A105" s="27" t="s">
        <v>113</v>
      </c>
      <c r="B105" s="73"/>
      <c r="C105" s="73"/>
      <c r="D105" s="73"/>
      <c r="E105" s="73"/>
      <c r="F105" s="73"/>
      <c r="G105" s="46"/>
      <c r="H105" s="46"/>
      <c r="J105" s="14"/>
      <c r="K105" s="14"/>
      <c r="L105" s="14"/>
      <c r="M105" s="14"/>
      <c r="N105" s="14"/>
      <c r="O105" s="14"/>
    </row>
    <row r="106" spans="1:14" ht="14.25">
      <c r="A106" s="74" t="s">
        <v>96</v>
      </c>
      <c r="B106" s="78">
        <f>MAX(0.26*B101/B102*B46*10,0.0013*B46*10)</f>
        <v>1.9468800000000002</v>
      </c>
      <c r="C106" s="77" t="s">
        <v>6</v>
      </c>
      <c r="D106" s="76" t="s">
        <v>126</v>
      </c>
      <c r="E106" s="73"/>
      <c r="F106" s="73"/>
      <c r="G106" s="46"/>
      <c r="J106" s="14"/>
      <c r="K106" s="14"/>
      <c r="L106" s="14"/>
      <c r="M106" s="14"/>
      <c r="N106" s="14"/>
    </row>
    <row r="107" spans="2:14" ht="12">
      <c r="B107" s="54" t="str">
        <f>IF(B106&lt;C32,"OK","KO")</f>
        <v>OK</v>
      </c>
      <c r="H107" s="46"/>
      <c r="J107" s="14"/>
      <c r="K107" s="14"/>
      <c r="L107" s="14"/>
      <c r="M107" s="14"/>
      <c r="N107" s="14"/>
    </row>
    <row r="108" spans="2:14" ht="12">
      <c r="B108" s="54"/>
      <c r="H108" s="46"/>
      <c r="J108" s="14"/>
      <c r="K108" s="14"/>
      <c r="L108" s="14"/>
      <c r="M108" s="14"/>
      <c r="N108" s="14"/>
    </row>
    <row r="109" spans="2:15" ht="12">
      <c r="B109" s="107" t="s">
        <v>254</v>
      </c>
      <c r="H109" s="46"/>
      <c r="M109" s="107" t="s">
        <v>264</v>
      </c>
      <c r="N109" s="14"/>
      <c r="O109" s="14"/>
    </row>
    <row r="110" spans="1:15" ht="12">
      <c r="A110" s="32" t="s">
        <v>243</v>
      </c>
      <c r="B110" s="53">
        <v>1</v>
      </c>
      <c r="C110" s="53">
        <v>2</v>
      </c>
      <c r="E110" s="29"/>
      <c r="H110" s="46"/>
      <c r="M110" s="95" t="s">
        <v>243</v>
      </c>
      <c r="N110" s="95" t="s">
        <v>102</v>
      </c>
      <c r="O110" s="95" t="s">
        <v>101</v>
      </c>
    </row>
    <row r="111" spans="1:15" ht="12">
      <c r="A111" s="32" t="s">
        <v>102</v>
      </c>
      <c r="B111" s="53">
        <f>B29</f>
        <v>12</v>
      </c>
      <c r="C111" s="53">
        <f>C29</f>
        <v>10</v>
      </c>
      <c r="E111" s="29" t="s">
        <v>259</v>
      </c>
      <c r="H111" s="46"/>
      <c r="M111" s="99"/>
      <c r="N111" s="97" t="s">
        <v>50</v>
      </c>
      <c r="O111" s="97" t="s">
        <v>50</v>
      </c>
    </row>
    <row r="112" spans="1:15" ht="13.5">
      <c r="A112" s="32" t="s">
        <v>256</v>
      </c>
      <c r="B112" s="65">
        <f>mand(B29,B30,B33,B56,B52,B12,B41,B55,3)</f>
        <v>213.33394024932355</v>
      </c>
      <c r="C112" s="65">
        <f>mand(C29,C30,C33,B56,B52,B13,B41,B55,3)</f>
        <v>184.57239666693027</v>
      </c>
      <c r="D112" s="29" t="s">
        <v>50</v>
      </c>
      <c r="E112" s="29" t="s">
        <v>262</v>
      </c>
      <c r="H112" s="46"/>
      <c r="M112" s="94">
        <v>1</v>
      </c>
      <c r="N112" s="94">
        <f>B29</f>
        <v>12</v>
      </c>
      <c r="O112" s="94">
        <f>B30</f>
        <v>170</v>
      </c>
    </row>
    <row r="113" spans="1:15" ht="13.5">
      <c r="A113" s="32" t="s">
        <v>244</v>
      </c>
      <c r="B113" s="65">
        <f>mand(B29,B30,B33,B56,B52,B12,B41,B55,1)</f>
        <v>91.63545542669617</v>
      </c>
      <c r="C113" s="53">
        <f>mand(C29,C30,C33,B56,B52,B13,B41,B55,1)</f>
        <v>40</v>
      </c>
      <c r="D113" s="29" t="s">
        <v>50</v>
      </c>
      <c r="E113" s="29" t="s">
        <v>263</v>
      </c>
      <c r="H113" s="46"/>
      <c r="M113" s="98">
        <v>2</v>
      </c>
      <c r="N113" s="94">
        <f>C29</f>
        <v>10</v>
      </c>
      <c r="O113" s="94">
        <f>C30</f>
        <v>150</v>
      </c>
    </row>
    <row r="114" spans="1:15" ht="13.5">
      <c r="A114" s="32" t="s">
        <v>248</v>
      </c>
      <c r="B114" s="51">
        <f>B113/B29</f>
        <v>7.636287952224681</v>
      </c>
      <c r="C114" s="53">
        <f>C113/C29</f>
        <v>4</v>
      </c>
      <c r="E114" s="29"/>
      <c r="H114" s="46"/>
      <c r="M114" s="94">
        <v>3</v>
      </c>
      <c r="N114" s="94">
        <f>D29</f>
        <v>6</v>
      </c>
      <c r="O114" s="94">
        <f>D30</f>
        <v>300</v>
      </c>
    </row>
    <row r="115" spans="1:15" ht="12">
      <c r="A115" s="35" t="s">
        <v>252</v>
      </c>
      <c r="B115" s="65">
        <f>mand(B29,B30,B33,B56,B52,B12,B41,B55,2)</f>
        <v>49.75657160768637</v>
      </c>
      <c r="C115" s="53">
        <f>mand(C29,C30,C33,B56,B52,B13,B41,B55,2)</f>
        <v>50</v>
      </c>
      <c r="D115" s="14" t="s">
        <v>50</v>
      </c>
      <c r="E115" s="108" t="s">
        <v>253</v>
      </c>
      <c r="H115" s="46"/>
      <c r="M115" s="96">
        <v>4</v>
      </c>
      <c r="N115" s="94">
        <f>N114</f>
        <v>6</v>
      </c>
      <c r="O115" s="94">
        <f>O114</f>
        <v>300</v>
      </c>
    </row>
    <row r="116" spans="1:14" ht="12">
      <c r="A116" s="35" t="s">
        <v>247</v>
      </c>
      <c r="B116" s="105">
        <f>B115/B29</f>
        <v>4.146380967307198</v>
      </c>
      <c r="C116" s="53">
        <f>C115/C29</f>
        <v>5</v>
      </c>
      <c r="E116" s="109"/>
      <c r="H116" s="46"/>
      <c r="J116" s="14"/>
      <c r="K116" s="14"/>
      <c r="L116" s="14"/>
      <c r="M116" s="14"/>
      <c r="N116" s="14"/>
    </row>
    <row r="117" spans="1:14" ht="12" customHeight="1">
      <c r="A117" s="32" t="s">
        <v>257</v>
      </c>
      <c r="B117" s="65">
        <f>B115+B113/2+B111</f>
        <v>107.57429932103446</v>
      </c>
      <c r="C117" s="65">
        <f>C115+C113/2+C111</f>
        <v>80</v>
      </c>
      <c r="D117" s="29" t="s">
        <v>50</v>
      </c>
      <c r="E117" s="29" t="s">
        <v>260</v>
      </c>
      <c r="H117" s="46"/>
      <c r="J117" s="14"/>
      <c r="K117" s="14"/>
      <c r="L117" s="14"/>
      <c r="M117" s="14"/>
      <c r="N117" s="14"/>
    </row>
    <row r="118" spans="1:14" ht="12" customHeight="1">
      <c r="A118" s="32" t="s">
        <v>258</v>
      </c>
      <c r="B118" s="53">
        <f>renard($U13:$U28,B113)</f>
        <v>100</v>
      </c>
      <c r="C118" s="53">
        <f>renard($U13:$U28,C113)</f>
        <v>50</v>
      </c>
      <c r="D118" s="29" t="s">
        <v>50</v>
      </c>
      <c r="E118" s="29" t="s">
        <v>261</v>
      </c>
      <c r="H118" s="46"/>
      <c r="J118" s="14"/>
      <c r="K118" s="14"/>
      <c r="L118" s="14"/>
      <c r="M118" s="14"/>
      <c r="N118" s="14"/>
    </row>
    <row r="119" spans="8:14" ht="12" customHeight="1">
      <c r="H119" s="46"/>
      <c r="J119" s="14"/>
      <c r="K119" s="14"/>
      <c r="L119" s="14"/>
      <c r="M119" s="14"/>
      <c r="N119" s="14"/>
    </row>
    <row r="120" spans="4:15" ht="12" customHeight="1"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</row>
    <row r="121" spans="4:15" ht="12"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</row>
    <row r="122" spans="4:15" ht="12"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</row>
    <row r="123" spans="4:15" ht="12">
      <c r="D123" s="14"/>
      <c r="E123" s="14"/>
      <c r="F123" s="14"/>
      <c r="G123" s="14"/>
      <c r="H123" s="14"/>
      <c r="I123" s="14"/>
      <c r="J123" s="14"/>
      <c r="K123" s="14"/>
      <c r="N123" s="14"/>
      <c r="O123" s="14"/>
    </row>
    <row r="124" spans="4:15" ht="12">
      <c r="D124"/>
      <c r="E124"/>
      <c r="F124"/>
      <c r="G124"/>
      <c r="H124"/>
      <c r="I124"/>
      <c r="J124"/>
      <c r="K124" s="14"/>
      <c r="N124" s="14"/>
      <c r="O124" s="14"/>
    </row>
    <row r="125" spans="4:15" ht="12">
      <c r="D125"/>
      <c r="E125"/>
      <c r="F125"/>
      <c r="G125"/>
      <c r="H125"/>
      <c r="I125"/>
      <c r="J125"/>
      <c r="K125" s="14"/>
      <c r="N125" s="14"/>
      <c r="O125" s="14"/>
    </row>
    <row r="126" spans="10:14" ht="12">
      <c r="J126" s="14"/>
      <c r="M126" s="14"/>
      <c r="N126" s="14"/>
    </row>
    <row r="127" spans="10:14" ht="12">
      <c r="J127" s="14"/>
      <c r="M127" s="14"/>
      <c r="N127" s="14"/>
    </row>
    <row r="128" spans="13:14" ht="12">
      <c r="M128" s="14"/>
      <c r="N128" s="14"/>
    </row>
    <row r="129" spans="13:14" ht="12">
      <c r="M129" s="14"/>
      <c r="N129" s="14"/>
    </row>
    <row r="130" spans="13:14" ht="12">
      <c r="M130" s="14"/>
      <c r="N130" s="14"/>
    </row>
    <row r="131" spans="13:14" ht="12">
      <c r="M131" s="14"/>
      <c r="N131" s="14"/>
    </row>
  </sheetData>
  <sheetProtection password="DE57" sheet="1" objects="1" scenarios="1" selectLockedCells="1"/>
  <mergeCells count="1">
    <mergeCell ref="B1:I1"/>
  </mergeCells>
  <conditionalFormatting sqref="B106">
    <cfRule type="cellIs" priority="1" dxfId="0" operator="greaterThan" stopIfTrue="1">
      <formula>C32</formula>
    </cfRule>
  </conditionalFormatting>
  <conditionalFormatting sqref="C76 A84:A85 A82:E83 D84:D85 D78 A78 A80:E80 A76">
    <cfRule type="cellIs" priority="2" dxfId="0" operator="equal" stopIfTrue="1">
      <formula>"""KO"""</formula>
    </cfRule>
  </conditionalFormatting>
  <conditionalFormatting sqref="B18">
    <cfRule type="cellIs" priority="3" dxfId="0" operator="lessThan" stopIfTrue="1">
      <formula>#REF!</formula>
    </cfRule>
  </conditionalFormatting>
  <conditionalFormatting sqref="C32">
    <cfRule type="cellIs" priority="4" dxfId="0" operator="lessThan" stopIfTrue="1">
      <formula>$C$33</formula>
    </cfRule>
  </conditionalFormatting>
  <conditionalFormatting sqref="B32">
    <cfRule type="cellIs" priority="5" dxfId="0" operator="lessThan" stopIfTrue="1">
      <formula>$B$33</formula>
    </cfRule>
  </conditionalFormatting>
  <conditionalFormatting sqref="B78">
    <cfRule type="cellIs" priority="6" dxfId="0" operator="greaterThan" stopIfTrue="1">
      <formula>$B$85</formula>
    </cfRule>
  </conditionalFormatting>
  <conditionalFormatting sqref="C78">
    <cfRule type="cellIs" priority="7" dxfId="0" operator="greaterThan" stopIfTrue="1">
      <formula>$C$85</formula>
    </cfRule>
  </conditionalFormatting>
  <conditionalFormatting sqref="D32">
    <cfRule type="cellIs" priority="8" dxfId="0" operator="lessThan" stopIfTrue="1">
      <formula>$D$33</formula>
    </cfRule>
  </conditionalFormatting>
  <conditionalFormatting sqref="B103">
    <cfRule type="cellIs" priority="9" dxfId="0" operator="greaterThan" stopIfTrue="1">
      <formula>$C$32</formula>
    </cfRule>
  </conditionalFormatting>
  <conditionalFormatting sqref="B34:D34 B38:C39">
    <cfRule type="cellIs" priority="10" dxfId="0" operator="equal" stopIfTrue="1">
      <formula>"KO"</formula>
    </cfRule>
  </conditionalFormatting>
  <dataValidations count="4">
    <dataValidation type="list" allowBlank="1" showInputMessage="1" showErrorMessage="1" sqref="B23">
      <formula1>$AD$21:$AD$26</formula1>
    </dataValidation>
    <dataValidation type="list" allowBlank="1" showInputMessage="1" showErrorMessage="1" sqref="B22">
      <formula1>$AL$20:$AL$36</formula1>
    </dataValidation>
    <dataValidation type="whole" allowBlank="1" showInputMessage="1" showErrorMessage="1" sqref="B25">
      <formula1>0</formula1>
      <formula2>1</formula2>
    </dataValidation>
    <dataValidation type="list" allowBlank="1" showInputMessage="1" showErrorMessage="1" sqref="B18">
      <formula1>$AK$4:$AK$17</formula1>
    </dataValidation>
  </dataValidation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scale="80" r:id="rId5"/>
  <rowBreaks count="1" manualBreakCount="1">
    <brk id="62" max="255" man="1"/>
  </rowBreaks>
  <colBreaks count="1" manualBreakCount="1">
    <brk id="16" min="1" max="101" man="1"/>
  </colBreaks>
  <legacyDrawing r:id="rId4"/>
  <oleObjects>
    <oleObject progId="Designer.Drawing.7" shapeId="7231346" r:id="rId1"/>
    <oleObject progId="Designer.Drawing.7" shapeId="7506156" r:id="rId2"/>
    <oleObject progId="Designer.Drawing.7" shapeId="12976490" r:id="rId3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A1"/>
  <sheetViews>
    <sheetView workbookViewId="0" topLeftCell="A1">
      <selection activeCell="A1" sqref="A1"/>
    </sheetView>
  </sheetViews>
  <sheetFormatPr defaultColWidth="11.421875" defaultRowHeight="12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:A1"/>
  <sheetViews>
    <sheetView workbookViewId="0" topLeftCell="A1">
      <selection activeCell="A1" sqref="A1"/>
    </sheetView>
  </sheetViews>
  <sheetFormatPr defaultColWidth="11.421875" defaultRowHeight="12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mactho1</dc:creator>
  <cp:keywords/>
  <dc:description/>
  <cp:lastModifiedBy>Henry</cp:lastModifiedBy>
  <dcterms:created xsi:type="dcterms:W3CDTF">2010-04-21T12:32:25Z</dcterms:created>
  <dcterms:modified xsi:type="dcterms:W3CDTF">2021-10-06T17:05:41Z</dcterms:modified>
  <cp:category/>
  <cp:version/>
  <cp:contentType/>
  <cp:contentStatus/>
</cp:coreProperties>
</file>